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З\Форум\ТЗ 1-Ф Кирпичная кладка\"/>
    </mc:Choice>
  </mc:AlternateContent>
  <xr:revisionPtr revIDLastSave="0" documentId="13_ncr:1_{61539693-1617-4EDF-AAF5-D3BC95A598E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Расчет" sheetId="1" r:id="rId1"/>
    <sheet name="Калькуляция 1 сек" sheetId="2" r:id="rId2"/>
    <sheet name="Калькуляция 2 сек" sheetId="3" r:id="rId3"/>
    <sheet name="Калькуляция 3 сек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4" l="1"/>
  <c r="F18" i="4"/>
  <c r="J18" i="4"/>
  <c r="G19" i="3"/>
  <c r="F19" i="3"/>
  <c r="J19" i="3"/>
  <c r="L19" i="3" s="1"/>
  <c r="L20" i="3" s="1"/>
  <c r="K18" i="2"/>
  <c r="H18" i="2"/>
  <c r="G18" i="2"/>
  <c r="F18" i="2"/>
  <c r="L18" i="4"/>
  <c r="L19" i="4" s="1"/>
  <c r="M19" i="2"/>
  <c r="M18" i="2"/>
  <c r="L18" i="3"/>
  <c r="H18" i="3"/>
  <c r="G18" i="3"/>
  <c r="F18" i="3"/>
  <c r="E18" i="3"/>
  <c r="J18" i="3" s="1"/>
  <c r="I17" i="4"/>
  <c r="H17" i="4"/>
  <c r="G17" i="4"/>
  <c r="F17" i="4"/>
  <c r="E17" i="4"/>
  <c r="AE30" i="1"/>
  <c r="AE31" i="1"/>
  <c r="AE32" i="1"/>
  <c r="AE33" i="1"/>
  <c r="AE34" i="1"/>
  <c r="D10" i="4"/>
  <c r="E10" i="4"/>
  <c r="F10" i="4"/>
  <c r="G10" i="4"/>
  <c r="H10" i="4"/>
  <c r="I10" i="4"/>
  <c r="D10" i="3"/>
  <c r="E10" i="3"/>
  <c r="F10" i="3"/>
  <c r="G10" i="3"/>
  <c r="H10" i="3"/>
  <c r="I10" i="3"/>
  <c r="D10" i="2"/>
  <c r="E10" i="2"/>
  <c r="F10" i="2"/>
  <c r="G10" i="2"/>
  <c r="H10" i="2"/>
  <c r="I10" i="2"/>
  <c r="J10" i="2"/>
  <c r="AC34" i="1"/>
  <c r="AA34" i="1"/>
  <c r="Y34" i="1"/>
  <c r="AG34" i="1" s="1"/>
  <c r="AG33" i="1"/>
  <c r="AC33" i="1"/>
  <c r="AA33" i="1"/>
  <c r="Y33" i="1"/>
  <c r="AC32" i="1"/>
  <c r="AA32" i="1"/>
  <c r="Y32" i="1"/>
  <c r="AC31" i="1"/>
  <c r="AA31" i="1"/>
  <c r="AG31" i="1" s="1"/>
  <c r="Y31" i="1"/>
  <c r="AC30" i="1"/>
  <c r="AA30" i="1"/>
  <c r="Y30" i="1"/>
  <c r="I17" i="3"/>
  <c r="H17" i="3"/>
  <c r="G17" i="3"/>
  <c r="F17" i="3"/>
  <c r="E17" i="3"/>
  <c r="Y19" i="1"/>
  <c r="AG19" i="1"/>
  <c r="I16" i="3"/>
  <c r="H16" i="3"/>
  <c r="G16" i="3"/>
  <c r="F16" i="3"/>
  <c r="E16" i="3"/>
  <c r="D16" i="3"/>
  <c r="I15" i="3"/>
  <c r="H15" i="3"/>
  <c r="G15" i="3"/>
  <c r="F15" i="3"/>
  <c r="E15" i="3"/>
  <c r="D15" i="3"/>
  <c r="P35" i="1"/>
  <c r="P34" i="1"/>
  <c r="P33" i="1"/>
  <c r="P32" i="1"/>
  <c r="P31" i="1"/>
  <c r="P30" i="1"/>
  <c r="P29" i="1"/>
  <c r="G35" i="1"/>
  <c r="G34" i="1"/>
  <c r="G33" i="1"/>
  <c r="G32" i="1"/>
  <c r="G31" i="1"/>
  <c r="G30" i="1"/>
  <c r="G29" i="1"/>
  <c r="F35" i="1"/>
  <c r="F36" i="1"/>
  <c r="P23" i="1"/>
  <c r="P22" i="1"/>
  <c r="P21" i="1"/>
  <c r="P20" i="1"/>
  <c r="P19" i="1"/>
  <c r="P18" i="1"/>
  <c r="P17" i="1"/>
  <c r="G18" i="1"/>
  <c r="E14" i="3" s="1"/>
  <c r="G19" i="1"/>
  <c r="F14" i="3" s="1"/>
  <c r="G20" i="1"/>
  <c r="G21" i="1"/>
  <c r="G22" i="1"/>
  <c r="G23" i="1"/>
  <c r="G17" i="1"/>
  <c r="D14" i="3" s="1"/>
  <c r="F23" i="1"/>
  <c r="F24" i="1"/>
  <c r="D33" i="1"/>
  <c r="D32" i="1"/>
  <c r="D31" i="1"/>
  <c r="D30" i="1"/>
  <c r="D29" i="1"/>
  <c r="D34" i="1"/>
  <c r="D22" i="1"/>
  <c r="Y22" i="1" s="1"/>
  <c r="AG22" i="1" s="1"/>
  <c r="D10" i="1"/>
  <c r="F11" i="1"/>
  <c r="G14" i="3"/>
  <c r="I13" i="4"/>
  <c r="J13" i="4" s="1"/>
  <c r="L13" i="4" s="1"/>
  <c r="I13" i="3"/>
  <c r="J13" i="3" s="1"/>
  <c r="L13" i="3" s="1"/>
  <c r="H34" i="1"/>
  <c r="H22" i="1"/>
  <c r="H10" i="1"/>
  <c r="I12" i="3"/>
  <c r="H12" i="3"/>
  <c r="G12" i="3"/>
  <c r="F12" i="3"/>
  <c r="E12" i="3"/>
  <c r="D12" i="3"/>
  <c r="I11" i="3"/>
  <c r="H11" i="3"/>
  <c r="G11" i="3"/>
  <c r="F11" i="3"/>
  <c r="E11" i="3"/>
  <c r="D11" i="3"/>
  <c r="I16" i="4"/>
  <c r="H16" i="4"/>
  <c r="G16" i="4"/>
  <c r="F16" i="4"/>
  <c r="E16" i="4"/>
  <c r="D16" i="4"/>
  <c r="I15" i="4"/>
  <c r="H15" i="4"/>
  <c r="G15" i="4"/>
  <c r="F15" i="4"/>
  <c r="E15" i="4"/>
  <c r="D15" i="4"/>
  <c r="H14" i="4"/>
  <c r="G14" i="4"/>
  <c r="F14" i="4"/>
  <c r="E14" i="4"/>
  <c r="D14" i="4"/>
  <c r="J12" i="4"/>
  <c r="L12" i="4" s="1"/>
  <c r="I12" i="4"/>
  <c r="H12" i="4"/>
  <c r="G12" i="4"/>
  <c r="F12" i="4"/>
  <c r="E12" i="4"/>
  <c r="D12" i="4"/>
  <c r="J11" i="4"/>
  <c r="L11" i="4" s="1"/>
  <c r="I11" i="4"/>
  <c r="H11" i="4"/>
  <c r="G11" i="4"/>
  <c r="F11" i="4"/>
  <c r="E11" i="4"/>
  <c r="D11" i="4"/>
  <c r="J7" i="4"/>
  <c r="L7" i="4" s="1"/>
  <c r="J6" i="4"/>
  <c r="L6" i="4" s="1"/>
  <c r="J5" i="4"/>
  <c r="L5" i="4" s="1"/>
  <c r="AG18" i="1"/>
  <c r="Y18" i="1"/>
  <c r="AE22" i="1"/>
  <c r="AC22" i="1"/>
  <c r="AA22" i="1"/>
  <c r="AE21" i="1"/>
  <c r="AG21" i="1" s="1"/>
  <c r="AC21" i="1"/>
  <c r="AA21" i="1"/>
  <c r="Y21" i="1"/>
  <c r="AE20" i="1"/>
  <c r="AC20" i="1"/>
  <c r="AA20" i="1"/>
  <c r="Y20" i="1"/>
  <c r="AG20" i="1" s="1"/>
  <c r="AE19" i="1"/>
  <c r="AC19" i="1"/>
  <c r="AA19" i="1"/>
  <c r="AE18" i="1"/>
  <c r="AC18" i="1"/>
  <c r="AA18" i="1"/>
  <c r="AE8" i="1"/>
  <c r="AE9" i="1"/>
  <c r="AE10" i="1"/>
  <c r="AE5" i="1"/>
  <c r="AE6" i="1"/>
  <c r="AE7" i="1"/>
  <c r="AC6" i="1"/>
  <c r="AC7" i="1"/>
  <c r="AC8" i="1"/>
  <c r="AC9" i="1"/>
  <c r="AC10" i="1"/>
  <c r="AC5" i="1"/>
  <c r="AA10" i="1"/>
  <c r="Y10" i="1"/>
  <c r="AA6" i="1"/>
  <c r="AA7" i="1"/>
  <c r="AA8" i="1"/>
  <c r="AA9" i="1"/>
  <c r="AA5" i="1"/>
  <c r="Y6" i="1"/>
  <c r="Y7" i="1"/>
  <c r="Y8" i="1"/>
  <c r="Y9" i="1"/>
  <c r="Y5" i="1"/>
  <c r="D9" i="1"/>
  <c r="D8" i="1"/>
  <c r="D7" i="1"/>
  <c r="D6" i="1"/>
  <c r="D5" i="1"/>
  <c r="D4" i="1"/>
  <c r="D18" i="1"/>
  <c r="D19" i="1"/>
  <c r="D20" i="1"/>
  <c r="D21" i="1"/>
  <c r="D17" i="1"/>
  <c r="H14" i="3"/>
  <c r="J7" i="3"/>
  <c r="L7" i="3" s="1"/>
  <c r="J6" i="3"/>
  <c r="L6" i="3" s="1"/>
  <c r="J5" i="3"/>
  <c r="L5" i="3" s="1"/>
  <c r="K6" i="2"/>
  <c r="M6" i="2" s="1"/>
  <c r="K7" i="2"/>
  <c r="M7" i="2" s="1"/>
  <c r="K5" i="2"/>
  <c r="M5" i="2" s="1"/>
  <c r="J10" i="4" l="1"/>
  <c r="J10" i="3"/>
  <c r="J15" i="4"/>
  <c r="L15" i="4" s="1"/>
  <c r="J11" i="3"/>
  <c r="L11" i="3" s="1"/>
  <c r="AG32" i="1"/>
  <c r="AG30" i="1"/>
  <c r="K10" i="2"/>
  <c r="J16" i="4"/>
  <c r="L16" i="4" s="1"/>
  <c r="J15" i="3"/>
  <c r="J16" i="3"/>
  <c r="L16" i="3" s="1"/>
  <c r="J12" i="3"/>
  <c r="L12" i="3" s="1"/>
  <c r="L15" i="3"/>
  <c r="P5" i="1"/>
  <c r="P6" i="1"/>
  <c r="F16" i="2" s="1"/>
  <c r="P7" i="1"/>
  <c r="P8" i="1"/>
  <c r="P9" i="1"/>
  <c r="P10" i="1"/>
  <c r="P11" i="1"/>
  <c r="P4" i="1"/>
  <c r="J16" i="2"/>
  <c r="I16" i="2"/>
  <c r="H16" i="2"/>
  <c r="G16" i="2"/>
  <c r="E16" i="2"/>
  <c r="D16" i="2"/>
  <c r="J13" i="2"/>
  <c r="K13" i="2" s="1"/>
  <c r="M13" i="2" s="1"/>
  <c r="G11" i="1"/>
  <c r="R35" i="1"/>
  <c r="I14" i="3" l="1"/>
  <c r="J14" i="3" s="1"/>
  <c r="L14" i="3" s="1"/>
  <c r="I14" i="4"/>
  <c r="J14" i="4" s="1"/>
  <c r="L14" i="4" s="1"/>
  <c r="H12" i="1"/>
  <c r="N30" i="1"/>
  <c r="O30" i="1" s="1"/>
  <c r="N31" i="1"/>
  <c r="O31" i="1" s="1"/>
  <c r="N32" i="1"/>
  <c r="O32" i="1" s="1"/>
  <c r="N33" i="1"/>
  <c r="O33" i="1" s="1"/>
  <c r="N34" i="1"/>
  <c r="O34" i="1" s="1"/>
  <c r="N29" i="1"/>
  <c r="O29" i="1" s="1"/>
  <c r="J30" i="1"/>
  <c r="K30" i="1" s="1"/>
  <c r="J31" i="1"/>
  <c r="K31" i="1" s="1"/>
  <c r="J32" i="1"/>
  <c r="K32" i="1" s="1"/>
  <c r="J33" i="1"/>
  <c r="K33" i="1" s="1"/>
  <c r="J34" i="1"/>
  <c r="K34" i="1" s="1"/>
  <c r="J29" i="1"/>
  <c r="K29" i="1" s="1"/>
  <c r="N22" i="1"/>
  <c r="O22" i="1" s="1"/>
  <c r="N18" i="1"/>
  <c r="O18" i="1" s="1"/>
  <c r="N19" i="1"/>
  <c r="O19" i="1" s="1"/>
  <c r="N20" i="1"/>
  <c r="O20" i="1" s="1"/>
  <c r="N21" i="1"/>
  <c r="O21" i="1" s="1"/>
  <c r="N17" i="1"/>
  <c r="O17" i="1" s="1"/>
  <c r="J18" i="1"/>
  <c r="K18" i="1" s="1"/>
  <c r="J19" i="1"/>
  <c r="K19" i="1" s="1"/>
  <c r="J20" i="1"/>
  <c r="K20" i="1" s="1"/>
  <c r="J21" i="1"/>
  <c r="K21" i="1" s="1"/>
  <c r="J22" i="1"/>
  <c r="K22" i="1" s="1"/>
  <c r="J17" i="1"/>
  <c r="K17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4" i="1"/>
  <c r="O4" i="1" s="1"/>
  <c r="J4" i="1"/>
  <c r="K4" i="1" s="1"/>
  <c r="D15" i="2" s="1"/>
  <c r="J6" i="1"/>
  <c r="K6" i="1" s="1"/>
  <c r="F15" i="2" s="1"/>
  <c r="J7" i="1"/>
  <c r="K7" i="1" s="1"/>
  <c r="G15" i="2" s="1"/>
  <c r="J8" i="1"/>
  <c r="K8" i="1" s="1"/>
  <c r="H15" i="2" s="1"/>
  <c r="J9" i="1"/>
  <c r="K9" i="1" s="1"/>
  <c r="I15" i="2" s="1"/>
  <c r="J10" i="1"/>
  <c r="K10" i="1" s="1"/>
  <c r="J15" i="2" s="1"/>
  <c r="J5" i="1"/>
  <c r="K5" i="1" s="1"/>
  <c r="E15" i="2" s="1"/>
  <c r="K15" i="2" l="1"/>
  <c r="M15" i="2" s="1"/>
  <c r="AG10" i="1"/>
  <c r="J17" i="4" s="1"/>
  <c r="L17" i="4" s="1"/>
  <c r="K16" i="2"/>
  <c r="M16" i="2" s="1"/>
  <c r="AG7" i="1"/>
  <c r="AG5" i="1"/>
  <c r="AG8" i="1"/>
  <c r="H17" i="2" s="1"/>
  <c r="AG9" i="1"/>
  <c r="AG6" i="1"/>
  <c r="V29" i="1"/>
  <c r="X30" i="1"/>
  <c r="X31" i="1"/>
  <c r="X32" i="1"/>
  <c r="X33" i="1"/>
  <c r="X34" i="1"/>
  <c r="X29" i="1"/>
  <c r="X5" i="1"/>
  <c r="E11" i="2" s="1"/>
  <c r="X6" i="1"/>
  <c r="F11" i="2" s="1"/>
  <c r="X7" i="1"/>
  <c r="G11" i="2" s="1"/>
  <c r="X8" i="1"/>
  <c r="H11" i="2" s="1"/>
  <c r="X9" i="1"/>
  <c r="I11" i="2" s="1"/>
  <c r="X10" i="1"/>
  <c r="J11" i="2" s="1"/>
  <c r="X4" i="1"/>
  <c r="V4" i="1"/>
  <c r="X22" i="1"/>
  <c r="X18" i="1"/>
  <c r="X19" i="1"/>
  <c r="X20" i="1"/>
  <c r="X21" i="1"/>
  <c r="X17" i="1"/>
  <c r="V17" i="1"/>
  <c r="V30" i="1"/>
  <c r="V31" i="1"/>
  <c r="V32" i="1"/>
  <c r="V33" i="1"/>
  <c r="V34" i="1"/>
  <c r="V18" i="1"/>
  <c r="V19" i="1"/>
  <c r="V20" i="1"/>
  <c r="V21" i="1"/>
  <c r="V22" i="1"/>
  <c r="V5" i="1"/>
  <c r="V6" i="1"/>
  <c r="V7" i="1"/>
  <c r="V8" i="1"/>
  <c r="V9" i="1"/>
  <c r="V10" i="1"/>
  <c r="M30" i="1"/>
  <c r="M31" i="1"/>
  <c r="M32" i="1"/>
  <c r="M33" i="1"/>
  <c r="M34" i="1"/>
  <c r="M29" i="1"/>
  <c r="M18" i="1"/>
  <c r="M19" i="1"/>
  <c r="M20" i="1"/>
  <c r="M21" i="1"/>
  <c r="M22" i="1"/>
  <c r="M17" i="1"/>
  <c r="M5" i="1"/>
  <c r="M6" i="1"/>
  <c r="M7" i="1"/>
  <c r="M8" i="1"/>
  <c r="M9" i="1"/>
  <c r="M10" i="1"/>
  <c r="M4" i="1"/>
  <c r="R34" i="1"/>
  <c r="R33" i="1"/>
  <c r="R32" i="1"/>
  <c r="R31" i="1"/>
  <c r="R30" i="1"/>
  <c r="R29" i="1"/>
  <c r="R22" i="1"/>
  <c r="R21" i="1"/>
  <c r="R20" i="1"/>
  <c r="R19" i="1"/>
  <c r="R18" i="1"/>
  <c r="R17" i="1"/>
  <c r="R5" i="1"/>
  <c r="E12" i="2" s="1"/>
  <c r="R6" i="1"/>
  <c r="F12" i="2" s="1"/>
  <c r="R7" i="1"/>
  <c r="G12" i="2" s="1"/>
  <c r="R8" i="1"/>
  <c r="H12" i="2" s="1"/>
  <c r="R9" i="1"/>
  <c r="I12" i="2" s="1"/>
  <c r="R10" i="1"/>
  <c r="J12" i="2" s="1"/>
  <c r="R4" i="1"/>
  <c r="D12" i="2" s="1"/>
  <c r="F34" i="1"/>
  <c r="F33" i="1"/>
  <c r="F32" i="1"/>
  <c r="F31" i="1"/>
  <c r="F30" i="1"/>
  <c r="F29" i="1"/>
  <c r="F22" i="1"/>
  <c r="F21" i="1"/>
  <c r="F20" i="1"/>
  <c r="F19" i="1"/>
  <c r="F18" i="1"/>
  <c r="F17" i="1"/>
  <c r="F4" i="1"/>
  <c r="G4" i="1" s="1"/>
  <c r="D14" i="2" s="1"/>
  <c r="F5" i="1"/>
  <c r="G5" i="1" s="1"/>
  <c r="E14" i="2" s="1"/>
  <c r="F6" i="1"/>
  <c r="G6" i="1" s="1"/>
  <c r="F14" i="2" s="1"/>
  <c r="F7" i="1"/>
  <c r="G7" i="1" s="1"/>
  <c r="G14" i="2" s="1"/>
  <c r="F8" i="1"/>
  <c r="G8" i="1" s="1"/>
  <c r="H14" i="2" s="1"/>
  <c r="F9" i="1"/>
  <c r="G9" i="1" s="1"/>
  <c r="I14" i="2" s="1"/>
  <c r="F10" i="1"/>
  <c r="G10" i="1" s="1"/>
  <c r="J14" i="2" s="1"/>
  <c r="I17" i="2" l="1"/>
  <c r="F17" i="2"/>
  <c r="G17" i="2"/>
  <c r="J17" i="2"/>
  <c r="J17" i="3"/>
  <c r="E17" i="2"/>
  <c r="K14" i="2"/>
  <c r="M14" i="2" s="1"/>
  <c r="R36" i="1"/>
  <c r="F12" i="1"/>
  <c r="V24" i="1"/>
  <c r="X36" i="1"/>
  <c r="V12" i="1"/>
  <c r="D11" i="2"/>
  <c r="X12" i="1"/>
  <c r="K11" i="2" s="1"/>
  <c r="M11" i="2" s="1"/>
  <c r="V36" i="1"/>
  <c r="X24" i="1"/>
  <c r="N24" i="1"/>
  <c r="J24" i="1"/>
  <c r="R24" i="1"/>
  <c r="N36" i="1"/>
  <c r="J36" i="1"/>
  <c r="R12" i="1"/>
  <c r="K12" i="2" s="1"/>
  <c r="M12" i="2" s="1"/>
  <c r="N12" i="1"/>
  <c r="J12" i="1"/>
  <c r="L17" i="3" l="1"/>
  <c r="K17" i="2"/>
  <c r="M17" i="2" s="1"/>
</calcChain>
</file>

<file path=xl/sharedStrings.xml><?xml version="1.0" encoding="utf-8"?>
<sst xmlns="http://schemas.openxmlformats.org/spreadsheetml/2006/main" count="294" uniqueCount="78">
  <si>
    <t xml:space="preserve">подвал </t>
  </si>
  <si>
    <t xml:space="preserve">1 этаж </t>
  </si>
  <si>
    <t>2,3 этажи</t>
  </si>
  <si>
    <t>4-12 этажи</t>
  </si>
  <si>
    <t>13-16 этажи</t>
  </si>
  <si>
    <t>17 этаж</t>
  </si>
  <si>
    <t>кровля</t>
  </si>
  <si>
    <t>высота этажа</t>
  </si>
  <si>
    <t>площадь штриховки</t>
  </si>
  <si>
    <t>количество</t>
  </si>
  <si>
    <t>1 СЕКЦИЯ</t>
  </si>
  <si>
    <t>2 СЕКЦИЯ</t>
  </si>
  <si>
    <t>3 СЕКЦИЯ</t>
  </si>
  <si>
    <t>всего</t>
  </si>
  <si>
    <t>КБ90, шт</t>
  </si>
  <si>
    <t>КБ210, шт</t>
  </si>
  <si>
    <t>Газоблок, м3</t>
  </si>
  <si>
    <t>площадь кб190</t>
  </si>
  <si>
    <t>площадь кб210</t>
  </si>
  <si>
    <t>облицовочный белый кирпич, шт</t>
  </si>
  <si>
    <t>облицовочный черный кирпич, шт</t>
  </si>
  <si>
    <t>4-16 этажи</t>
  </si>
  <si>
    <t>рядовой кирпич (на кровле столбики на 0,9 м), шт</t>
  </si>
  <si>
    <t>Утеплитель 100, м2</t>
  </si>
  <si>
    <t>Утеплитель 150, м2</t>
  </si>
  <si>
    <t>№ п/п</t>
  </si>
  <si>
    <t>Наименование</t>
  </si>
  <si>
    <t xml:space="preserve">Ед. изм. </t>
  </si>
  <si>
    <t>Количество</t>
  </si>
  <si>
    <t>1 эт</t>
  </si>
  <si>
    <t>подвал</t>
  </si>
  <si>
    <t>2-3 эт</t>
  </si>
  <si>
    <t>4-12 эт</t>
  </si>
  <si>
    <t>13-16 эт</t>
  </si>
  <si>
    <t xml:space="preserve">17 эт </t>
  </si>
  <si>
    <t>парапет</t>
  </si>
  <si>
    <t>Итого</t>
  </si>
  <si>
    <t>Стоимость ед. изм.</t>
  </si>
  <si>
    <t>Утепление монолитных конструкций утеплителем толщиной 100 мм с креплением к строительным конструкциям</t>
  </si>
  <si>
    <t>Утепление монолитных конструкций утеплителем толщиной 150 мм с креплением к строительным конструкциям</t>
  </si>
  <si>
    <t>Кладка внутренней версты толщиной 400 мм из газоблока на растворе, армированием, анкеровкой к монолитным конструкциям, монтажом перемычек, выполнение узлов сопряжения с монолитными и строительными конструкциями</t>
  </si>
  <si>
    <t>Кладка толщиной 250 мм из рядового кирпича на растворе с армированием, анкеровкой к строительным конструкциям, выполнение узлов сопряжения с монолитными и строительными конструкциями, монтаж перемычек</t>
  </si>
  <si>
    <t>Кладка толщиной 120 мм из рядового кирпича на растворе с армированием, анкеровкой к строительным конструкциям, выполнение узлов сопряжения с монолитными и строительными конструкциями, монтаж перемычек</t>
  </si>
  <si>
    <t>Кладка вентшахт из ВБ на растворе с выполнением узлов сопряжения с монолитными конструкциями, устройством осечек и пробивкой отверстий под вентрешетку и для перетечки воздуха в коллективный вентканал</t>
  </si>
  <si>
    <t>м2</t>
  </si>
  <si>
    <t>м3</t>
  </si>
  <si>
    <t>Кровля</t>
  </si>
  <si>
    <t>площадь, м2</t>
  </si>
  <si>
    <t>ВБ210</t>
  </si>
  <si>
    <t>ВБ240</t>
  </si>
  <si>
    <t>ВБ430</t>
  </si>
  <si>
    <t>ВБ880</t>
  </si>
  <si>
    <t>шт на эт</t>
  </si>
  <si>
    <t>высота для ВБ</t>
  </si>
  <si>
    <t>площадь (120мм), м2</t>
  </si>
  <si>
    <t>рядовой кирпич 250 мм</t>
  </si>
  <si>
    <t>объем, м3</t>
  </si>
  <si>
    <t>кол-во:</t>
  </si>
  <si>
    <t>Кладка перегородок  толщиной 210 мм из КБ на растворе с армированием, анкеровкой к строительным конструкциям, выполнение узлов сопряжения с монолитными и строительными конструкциями, монтаж перемычек</t>
  </si>
  <si>
    <t>Кладка перегородок  толщиной 90 мм из КБ на растворе с армированием, анкеровкой к строительным конструкциям, выполнение узлов сопряжения с монолитными и строительными конструкциями, монтаж перемычек</t>
  </si>
  <si>
    <t>количество, м3</t>
  </si>
  <si>
    <t>Кладка наружной версты из облицовочного кирпича толщиной 120 мм с приготовлением раствора из сухой смеси, армированием, установкой связей и анкеровкой к монолитным конструкциям, изготовлением и монтажом металлических перемычек, выполнением узлов сопряжения с монолитными конструкциями (вилатерм и герметизация)</t>
  </si>
  <si>
    <t>Кладка наружной версты из облицовочного кирпича толщиной 250 мм с приготовлением раствора из сухой смеси, армированием, установкой связей и анкеровкой к монолитным конструкциям, изготовлением и монтажом металлических перемычек, выполнением узлов сопряжения с монолитными конструкциями (вилатерм и герметизация)</t>
  </si>
  <si>
    <t>Кладка наружной версты из облицовочного фасонного кирпича толщиной с приготовлением раствора из сухой смеси, армированием, установкой связей и анкеровкой к монолитным конструкциям, изготовлением и монтажом металлических перемычек, выполнением узлов сопряжения с монолитными конструкциями (вилатерм и герметизация)</t>
  </si>
  <si>
    <t>Общая стоимость</t>
  </si>
  <si>
    <t>Калькуляция затрат на работы по каменной кладке на объекте: "Многоэтажный многоквартирный жилой дом №67 по ул. Новая 8-я в микрорайоне №17а жилого района "Север" в Октябрьском районе г. Ижевска. Секция №1"</t>
  </si>
  <si>
    <t>Кладка наружной версты из облицовочного кирпича толщиной 120 мм с приготовлением раствора из сухой смеси, армированием, установкой связей и анкеровкой к монолитным конструкциям, изготовлением и монтажом металлических перемычек, выполнением узлов сопряжения с монолитными конструкциями (вилатерм и герметизация), в том числе арочная кладка</t>
  </si>
  <si>
    <t>Калькуляция затрат на работы по каменной кладке на объекте: "Многоэтажный многоквартирный жилой дом №67 по ул. Новая 8-я в микрорайоне №17а жилого района "Север" в Октябрьском районе г. Ижевска. Секция №2"</t>
  </si>
  <si>
    <t>Кладка наружной версты из облицовочного кирпича толщиной 250 мм с приготовлением раствора из сухой смеси, армированием, установкой связей и анкеровкой к монолитным конструкциям, изготовлением и монтажом металлических перемычек, выполнением узлов сопряжения с монолитными конструкциями (вилатерм и герметизация), в том числе арочная кладка</t>
  </si>
  <si>
    <t>4-16 эт</t>
  </si>
  <si>
    <t>13-17 эт</t>
  </si>
  <si>
    <t xml:space="preserve">13-17 эт </t>
  </si>
  <si>
    <t>1-3 эт</t>
  </si>
  <si>
    <t>Калькуляция затрат на работы по каменной кладке на объекте: "Многоэтажный многоквартирный жилой дом №67 по ул. Новая 8-я в микрорайоне №17а жилого района "Север" в Октябрьском районе г. Ижевска. Секция №3"</t>
  </si>
  <si>
    <t>V, м3</t>
  </si>
  <si>
    <t>Устройство деформационного шва между 2 и 3 секциями</t>
  </si>
  <si>
    <t>п.м.</t>
  </si>
  <si>
    <t>Монтаж уголка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</si>
</sst>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0" borderId="6" xfId="0" applyBorder="1" applyAlignment="1">
      <alignment horizontal="left" wrapText="1"/>
    </xf>
    <xf numFmtId="0" fontId="0" fillId="0" borderId="7" xfId="0" applyBorder="1"/>
    <xf numFmtId="0" fontId="0" fillId="0" borderId="9" xfId="0" applyBorder="1"/>
    <xf numFmtId="0" fontId="0" fillId="0" borderId="17" xfId="0" applyBorder="1"/>
    <xf numFmtId="0" fontId="0" fillId="0" borderId="12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1" xfId="0" applyBorder="1" applyAlignment="1">
      <alignment wrapText="1"/>
    </xf>
    <xf numFmtId="2" fontId="0" fillId="0" borderId="11" xfId="0" applyNumberFormat="1" applyBorder="1" applyAlignment="1">
      <alignment wrapText="1"/>
    </xf>
    <xf numFmtId="0" fontId="2" fillId="0" borderId="28" xfId="0" applyFont="1" applyBorder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" fontId="2" fillId="0" borderId="30" xfId="0" applyNumberFormat="1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2" xfId="0" applyBorder="1"/>
    <xf numFmtId="0" fontId="0" fillId="0" borderId="33" xfId="0" applyBorder="1"/>
    <xf numFmtId="0" fontId="2" fillId="0" borderId="31" xfId="0" applyFont="1" applyBorder="1" applyAlignment="1">
      <alignment wrapText="1"/>
    </xf>
    <xf numFmtId="1" fontId="2" fillId="0" borderId="32" xfId="0" applyNumberFormat="1" applyFont="1" applyBorder="1" applyAlignment="1">
      <alignment wrapText="1"/>
    </xf>
    <xf numFmtId="0" fontId="2" fillId="0" borderId="32" xfId="0" applyFont="1" applyBorder="1" applyAlignment="1">
      <alignment wrapText="1"/>
    </xf>
    <xf numFmtId="1" fontId="2" fillId="0" borderId="33" xfId="0" applyNumberFormat="1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2" fontId="0" fillId="0" borderId="0" xfId="0" applyNumberFormat="1"/>
    <xf numFmtId="0" fontId="0" fillId="0" borderId="2" xfId="0" applyBorder="1" applyAlignment="1">
      <alignment wrapText="1"/>
    </xf>
    <xf numFmtId="2" fontId="0" fillId="0" borderId="2" xfId="0" applyNumberFormat="1" applyBorder="1" applyAlignment="1">
      <alignment wrapText="1"/>
    </xf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0" fontId="0" fillId="0" borderId="2" xfId="0" applyBorder="1"/>
    <xf numFmtId="2" fontId="0" fillId="0" borderId="2" xfId="0" applyNumberFormat="1" applyBorder="1"/>
    <xf numFmtId="2" fontId="0" fillId="0" borderId="13" xfId="0" applyNumberFormat="1" applyBorder="1"/>
    <xf numFmtId="0" fontId="0" fillId="0" borderId="18" xfId="0" applyBorder="1"/>
    <xf numFmtId="0" fontId="0" fillId="0" borderId="5" xfId="0" applyBorder="1" applyAlignment="1">
      <alignment wrapText="1"/>
    </xf>
    <xf numFmtId="1" fontId="2" fillId="0" borderId="1" xfId="0" applyNumberFormat="1" applyFont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"/>
  <sheetViews>
    <sheetView zoomScale="85" zoomScaleNormal="85"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L18" sqref="L18"/>
    </sheetView>
  </sheetViews>
  <sheetFormatPr defaultRowHeight="15" x14ac:dyDescent="0.25"/>
  <cols>
    <col min="2" max="2" width="12.140625" customWidth="1"/>
    <col min="3" max="3" width="8" customWidth="1"/>
    <col min="4" max="4" width="7.85546875" customWidth="1"/>
    <col min="5" max="5" width="13.7109375" customWidth="1"/>
    <col min="6" max="8" width="12.140625" customWidth="1"/>
    <col min="9" max="9" width="12" customWidth="1"/>
    <col min="10" max="10" width="11.42578125" bestFit="1" customWidth="1"/>
    <col min="11" max="12" width="11.42578125" customWidth="1"/>
    <col min="13" max="13" width="10" customWidth="1"/>
    <col min="14" max="16" width="12.28515625" customWidth="1"/>
    <col min="17" max="17" width="11.7109375" customWidth="1"/>
    <col min="18" max="18" width="11.42578125" bestFit="1" customWidth="1"/>
    <col min="19" max="19" width="18.5703125" customWidth="1"/>
    <col min="20" max="20" width="18.28515625" customWidth="1"/>
    <col min="21" max="21" width="11" customWidth="1"/>
    <col min="22" max="22" width="11.42578125" bestFit="1" customWidth="1"/>
    <col min="23" max="23" width="11.5703125" customWidth="1"/>
    <col min="24" max="24" width="11.42578125" customWidth="1"/>
    <col min="33" max="33" width="6.7109375" bestFit="1" customWidth="1"/>
  </cols>
  <sheetData>
    <row r="1" spans="1:33" ht="36" customHeight="1" thickBot="1" x14ac:dyDescent="0.6">
      <c r="A1" s="20">
        <v>1.2</v>
      </c>
      <c r="B1" s="69" t="s">
        <v>10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70"/>
      <c r="Y1" t="s">
        <v>74</v>
      </c>
      <c r="AA1" t="s">
        <v>74</v>
      </c>
      <c r="AC1" t="s">
        <v>74</v>
      </c>
      <c r="AE1" t="s">
        <v>74</v>
      </c>
    </row>
    <row r="2" spans="1:33" ht="33.75" customHeight="1" thickBot="1" x14ac:dyDescent="0.3">
      <c r="A2" s="21"/>
      <c r="B2" s="3"/>
      <c r="C2" s="3"/>
      <c r="D2" s="42"/>
      <c r="E2" s="71" t="s">
        <v>22</v>
      </c>
      <c r="F2" s="72"/>
      <c r="G2" s="73"/>
      <c r="H2" s="40" t="s">
        <v>55</v>
      </c>
      <c r="I2" s="71" t="s">
        <v>14</v>
      </c>
      <c r="J2" s="72"/>
      <c r="K2" s="73"/>
      <c r="L2" s="71" t="s">
        <v>15</v>
      </c>
      <c r="M2" s="72"/>
      <c r="N2" s="72"/>
      <c r="O2" s="72"/>
      <c r="P2" s="73"/>
      <c r="Q2" s="71" t="s">
        <v>16</v>
      </c>
      <c r="R2" s="73"/>
      <c r="S2" s="2" t="s">
        <v>19</v>
      </c>
      <c r="T2" s="2" t="s">
        <v>20</v>
      </c>
      <c r="U2" s="71" t="s">
        <v>23</v>
      </c>
      <c r="V2" s="73"/>
      <c r="W2" s="71" t="s">
        <v>24</v>
      </c>
      <c r="X2" s="72"/>
      <c r="Y2" s="13" t="s">
        <v>48</v>
      </c>
      <c r="Z2" s="14" t="s">
        <v>52</v>
      </c>
      <c r="AA2" s="13" t="s">
        <v>49</v>
      </c>
      <c r="AB2" s="14" t="s">
        <v>52</v>
      </c>
      <c r="AC2" s="13" t="s">
        <v>50</v>
      </c>
      <c r="AD2" s="14" t="s">
        <v>52</v>
      </c>
      <c r="AE2" s="11" t="s">
        <v>51</v>
      </c>
      <c r="AF2" s="14" t="s">
        <v>52</v>
      </c>
      <c r="AG2" t="s">
        <v>13</v>
      </c>
    </row>
    <row r="3" spans="1:33" ht="30" x14ac:dyDescent="0.25">
      <c r="A3" s="21"/>
      <c r="B3" s="3"/>
      <c r="C3" s="3" t="s">
        <v>7</v>
      </c>
      <c r="D3" s="3" t="s">
        <v>53</v>
      </c>
      <c r="E3" s="3" t="s">
        <v>8</v>
      </c>
      <c r="F3" s="3" t="s">
        <v>9</v>
      </c>
      <c r="G3" s="3" t="s">
        <v>54</v>
      </c>
      <c r="H3" s="3" t="s">
        <v>56</v>
      </c>
      <c r="I3" s="3" t="s">
        <v>8</v>
      </c>
      <c r="J3" s="3" t="s">
        <v>9</v>
      </c>
      <c r="K3" s="3" t="s">
        <v>47</v>
      </c>
      <c r="L3" s="3" t="s">
        <v>17</v>
      </c>
      <c r="M3" s="3" t="s">
        <v>18</v>
      </c>
      <c r="N3" s="3" t="s">
        <v>9</v>
      </c>
      <c r="O3" s="3" t="s">
        <v>47</v>
      </c>
      <c r="P3" s="3" t="s">
        <v>56</v>
      </c>
      <c r="Q3" s="3" t="s">
        <v>8</v>
      </c>
      <c r="R3" s="3" t="s">
        <v>60</v>
      </c>
      <c r="S3" s="3"/>
      <c r="T3" s="3"/>
      <c r="U3" s="3" t="s">
        <v>8</v>
      </c>
      <c r="V3" s="3" t="s">
        <v>9</v>
      </c>
      <c r="W3" s="3" t="s">
        <v>8</v>
      </c>
      <c r="X3" s="42" t="s">
        <v>9</v>
      </c>
      <c r="Y3" s="9"/>
      <c r="Z3" s="10"/>
      <c r="AA3" s="9"/>
      <c r="AB3" s="10"/>
      <c r="AC3" s="9"/>
      <c r="AD3" s="47"/>
      <c r="AE3" s="15"/>
      <c r="AF3" s="50"/>
    </row>
    <row r="4" spans="1:33" x14ac:dyDescent="0.25">
      <c r="A4" s="21">
        <v>1</v>
      </c>
      <c r="B4" s="3" t="s">
        <v>0</v>
      </c>
      <c r="C4" s="3">
        <v>3.05</v>
      </c>
      <c r="D4" s="3">
        <f>C4+0.18</f>
        <v>3.23</v>
      </c>
      <c r="E4" s="3">
        <v>18.25</v>
      </c>
      <c r="F4" s="4">
        <f t="shared" ref="F4:F9" si="0">A4*C4*E4*51*1.05/0.12</f>
        <v>24839.390625</v>
      </c>
      <c r="G4" s="4">
        <f>F4/51</f>
        <v>487.046875</v>
      </c>
      <c r="H4" s="4"/>
      <c r="I4" s="3">
        <v>0</v>
      </c>
      <c r="J4" s="4">
        <f>A4*C4*I4*12.5*1.05/0.09</f>
        <v>0</v>
      </c>
      <c r="K4" s="4">
        <f>J4/12.5</f>
        <v>0</v>
      </c>
      <c r="L4" s="3">
        <v>6.74</v>
      </c>
      <c r="M4" s="5">
        <f>L4/0.19*0.21</f>
        <v>7.4494736842105258</v>
      </c>
      <c r="N4" s="4">
        <f>A4*C4*L4*12.5*1.05/0.21</f>
        <v>1284.8125000000002</v>
      </c>
      <c r="O4" s="4">
        <f>N4/12.5</f>
        <v>102.78500000000003</v>
      </c>
      <c r="P4" s="4">
        <f>M4*C4*A4</f>
        <v>22.720894736842101</v>
      </c>
      <c r="Q4" s="3">
        <v>0</v>
      </c>
      <c r="R4" s="3">
        <f t="shared" ref="R4:R10" si="1">A4*C4*Q4*1.05</f>
        <v>0</v>
      </c>
      <c r="S4" s="3"/>
      <c r="T4" s="3"/>
      <c r="U4" s="3">
        <v>5</v>
      </c>
      <c r="V4" s="5">
        <f>(A4*C4*U4*1.05/0.1)+9.6</f>
        <v>169.72499999999997</v>
      </c>
      <c r="W4" s="3">
        <v>7.7</v>
      </c>
      <c r="X4" s="43">
        <f t="shared" ref="X4:X10" si="2">A4*C4*W4*1.05/0.15</f>
        <v>164.39500000000001</v>
      </c>
      <c r="Y4" s="44"/>
      <c r="Z4" s="45"/>
      <c r="AA4" s="44"/>
      <c r="AB4" s="45"/>
      <c r="AC4" s="44"/>
      <c r="AD4" s="48"/>
      <c r="AE4" s="44"/>
      <c r="AF4" s="10"/>
    </row>
    <row r="5" spans="1:33" x14ac:dyDescent="0.25">
      <c r="A5" s="21">
        <v>1</v>
      </c>
      <c r="B5" s="3" t="s">
        <v>1</v>
      </c>
      <c r="C5" s="3">
        <v>3.16</v>
      </c>
      <c r="D5" s="3">
        <f t="shared" ref="D5:D9" si="3">C5+0.18</f>
        <v>3.3400000000000003</v>
      </c>
      <c r="E5" s="3">
        <v>0.76</v>
      </c>
      <c r="F5" s="4">
        <f t="shared" si="0"/>
        <v>1071.7140000000002</v>
      </c>
      <c r="G5" s="4">
        <f t="shared" ref="G5:G11" si="4">F5/51</f>
        <v>21.014000000000003</v>
      </c>
      <c r="H5" s="4"/>
      <c r="I5" s="3">
        <v>11.37</v>
      </c>
      <c r="J5" s="4">
        <f>A5*C5*I5*12.5*1.05/0.09</f>
        <v>5239.6750000000002</v>
      </c>
      <c r="K5" s="4">
        <f t="shared" ref="K5:K10" si="5">J5/12.5</f>
        <v>419.17400000000004</v>
      </c>
      <c r="L5" s="3">
        <v>15.35</v>
      </c>
      <c r="M5" s="5">
        <f t="shared" ref="M5:M10" si="6">L5/0.19*0.21</f>
        <v>16.965789473684207</v>
      </c>
      <c r="N5" s="4">
        <f t="shared" ref="N5:N10" si="7">A5*C5*L5*12.5*1.05/0.21</f>
        <v>3031.6250000000009</v>
      </c>
      <c r="O5" s="4">
        <f t="shared" ref="O5:O10" si="8">N5/12.5</f>
        <v>242.53000000000009</v>
      </c>
      <c r="P5" s="4">
        <f t="shared" ref="P5:P11" si="9">M5*C5*A5</f>
        <v>53.611894736842096</v>
      </c>
      <c r="Q5" s="3">
        <v>19.7</v>
      </c>
      <c r="R5" s="6">
        <f t="shared" si="1"/>
        <v>65.36460000000001</v>
      </c>
      <c r="S5" s="3"/>
      <c r="T5" s="3"/>
      <c r="U5" s="3">
        <v>0.7</v>
      </c>
      <c r="V5" s="5">
        <f t="shared" ref="V5:V10" si="10">A5*C5*U5*1.05/0.1</f>
        <v>23.225999999999999</v>
      </c>
      <c r="W5" s="3">
        <v>3.1</v>
      </c>
      <c r="X5" s="43">
        <f t="shared" si="2"/>
        <v>68.572000000000017</v>
      </c>
      <c r="Y5" s="44">
        <f>0.24*0.21*A5*D5</f>
        <v>0.16833599999999999</v>
      </c>
      <c r="Z5" s="45">
        <v>20</v>
      </c>
      <c r="AA5" s="44">
        <f>0.24*0.43*A5*D5</f>
        <v>0.34468800000000005</v>
      </c>
      <c r="AB5" s="45">
        <v>0</v>
      </c>
      <c r="AC5" s="44">
        <f>0.43*0.43*A5*D5</f>
        <v>0.61756599999999995</v>
      </c>
      <c r="AD5" s="48">
        <v>0</v>
      </c>
      <c r="AE5" s="44">
        <f t="shared" ref="AE5:AE6" si="11">0.88*0.43*A5*D5</f>
        <v>1.2638560000000001</v>
      </c>
      <c r="AF5" s="10">
        <v>0</v>
      </c>
      <c r="AG5" s="41">
        <f>(Y5*Z5)+(AA5*AB5)+(AC5*AD5)+(AE5*AF5)</f>
        <v>3.3667199999999999</v>
      </c>
    </row>
    <row r="6" spans="1:33" x14ac:dyDescent="0.25">
      <c r="A6" s="21">
        <v>2</v>
      </c>
      <c r="B6" s="3" t="s">
        <v>2</v>
      </c>
      <c r="C6" s="3">
        <v>2.82</v>
      </c>
      <c r="D6" s="3">
        <f t="shared" si="3"/>
        <v>3</v>
      </c>
      <c r="E6" s="3">
        <v>0.57999999999999996</v>
      </c>
      <c r="F6" s="4">
        <f t="shared" si="0"/>
        <v>1459.7729999999999</v>
      </c>
      <c r="G6" s="4">
        <f t="shared" si="4"/>
        <v>28.622999999999998</v>
      </c>
      <c r="H6" s="4"/>
      <c r="I6" s="3">
        <v>11.47</v>
      </c>
      <c r="J6" s="4">
        <f t="shared" ref="J6:J10" si="12">A6*C6*I6*12.5*1.05/0.09</f>
        <v>9434.0750000000007</v>
      </c>
      <c r="K6" s="4">
        <f t="shared" si="5"/>
        <v>754.72600000000011</v>
      </c>
      <c r="L6" s="3">
        <v>16.73</v>
      </c>
      <c r="M6" s="5">
        <f t="shared" si="6"/>
        <v>18.491052631578945</v>
      </c>
      <c r="N6" s="4">
        <f t="shared" si="7"/>
        <v>5897.3249999999998</v>
      </c>
      <c r="O6" s="4">
        <f t="shared" si="8"/>
        <v>471.786</v>
      </c>
      <c r="P6" s="4">
        <f t="shared" si="9"/>
        <v>104.28953684210525</v>
      </c>
      <c r="Q6" s="3">
        <v>18</v>
      </c>
      <c r="R6" s="6">
        <f t="shared" si="1"/>
        <v>106.596</v>
      </c>
      <c r="S6" s="3"/>
      <c r="T6" s="3"/>
      <c r="U6" s="3">
        <v>0.8</v>
      </c>
      <c r="V6" s="5">
        <f t="shared" si="10"/>
        <v>47.375999999999991</v>
      </c>
      <c r="W6" s="3">
        <v>3.1</v>
      </c>
      <c r="X6" s="43">
        <f t="shared" si="2"/>
        <v>122.38800000000001</v>
      </c>
      <c r="Y6" s="44">
        <f t="shared" ref="Y6:Y9" si="13">0.24*0.21*A6*D6</f>
        <v>0.30239999999999995</v>
      </c>
      <c r="Z6" s="45">
        <v>25</v>
      </c>
      <c r="AA6" s="44">
        <f t="shared" ref="AA6:AA9" si="14">0.24*0.43*A6*D6</f>
        <v>0.61919999999999997</v>
      </c>
      <c r="AB6" s="45">
        <v>2</v>
      </c>
      <c r="AC6" s="44">
        <f>0.43*0.43*A6*C6</f>
        <v>1.0428359999999999</v>
      </c>
      <c r="AD6" s="48">
        <v>6</v>
      </c>
      <c r="AE6" s="44">
        <f t="shared" si="11"/>
        <v>2.2704</v>
      </c>
      <c r="AF6" s="10">
        <v>8</v>
      </c>
      <c r="AG6" s="41">
        <f t="shared" ref="AG6:AG10" si="15">(Y6*Z6)+(AA6*AB6)+(AC6*AD6)+(AE6*AF6)</f>
        <v>33.218615999999997</v>
      </c>
    </row>
    <row r="7" spans="1:33" x14ac:dyDescent="0.25">
      <c r="A7" s="21">
        <v>9</v>
      </c>
      <c r="B7" s="3" t="s">
        <v>3</v>
      </c>
      <c r="C7" s="3">
        <v>2.82</v>
      </c>
      <c r="D7" s="3">
        <f t="shared" si="3"/>
        <v>3</v>
      </c>
      <c r="E7" s="3">
        <v>0.57999999999999996</v>
      </c>
      <c r="F7" s="4">
        <f t="shared" si="0"/>
        <v>6568.9784999999993</v>
      </c>
      <c r="G7" s="4">
        <f t="shared" si="4"/>
        <v>128.80349999999999</v>
      </c>
      <c r="H7" s="4"/>
      <c r="I7" s="3">
        <v>11.22</v>
      </c>
      <c r="J7" s="4">
        <f t="shared" si="12"/>
        <v>41528.025000000009</v>
      </c>
      <c r="K7" s="4">
        <f t="shared" si="5"/>
        <v>3322.2420000000006</v>
      </c>
      <c r="L7" s="3">
        <v>16.78</v>
      </c>
      <c r="M7" s="5">
        <f t="shared" si="6"/>
        <v>18.546315789473685</v>
      </c>
      <c r="N7" s="4">
        <f t="shared" si="7"/>
        <v>26617.275000000005</v>
      </c>
      <c r="O7" s="4">
        <f t="shared" si="8"/>
        <v>2129.3820000000005</v>
      </c>
      <c r="P7" s="4">
        <f t="shared" si="9"/>
        <v>470.70549473684207</v>
      </c>
      <c r="Q7" s="3">
        <v>18.2</v>
      </c>
      <c r="R7" s="6">
        <f t="shared" si="1"/>
        <v>485.01179999999994</v>
      </c>
      <c r="S7" s="3"/>
      <c r="T7" s="3"/>
      <c r="U7" s="3">
        <v>0.8</v>
      </c>
      <c r="V7" s="5">
        <f t="shared" si="10"/>
        <v>213.19200000000001</v>
      </c>
      <c r="W7" s="3">
        <v>3.1</v>
      </c>
      <c r="X7" s="43">
        <f t="shared" si="2"/>
        <v>550.74600000000009</v>
      </c>
      <c r="Y7" s="44">
        <f t="shared" si="13"/>
        <v>1.3607999999999998</v>
      </c>
      <c r="Z7" s="45">
        <v>26</v>
      </c>
      <c r="AA7" s="44">
        <f t="shared" si="14"/>
        <v>2.7864</v>
      </c>
      <c r="AB7" s="45">
        <v>5.3333329999999997</v>
      </c>
      <c r="AC7" s="44">
        <f t="shared" ref="AC7:AC10" si="16">0.43*0.43*A7*C7</f>
        <v>4.6927619999999992</v>
      </c>
      <c r="AD7" s="48">
        <v>6</v>
      </c>
      <c r="AE7" s="44">
        <f>0.88*0.43*A7*D7</f>
        <v>10.216800000000001</v>
      </c>
      <c r="AF7" s="10">
        <v>8</v>
      </c>
      <c r="AG7" s="41">
        <f t="shared" si="15"/>
        <v>160.1325710712</v>
      </c>
    </row>
    <row r="8" spans="1:33" x14ac:dyDescent="0.25">
      <c r="A8" s="21">
        <v>4</v>
      </c>
      <c r="B8" s="3" t="s">
        <v>4</v>
      </c>
      <c r="C8" s="3">
        <v>2.82</v>
      </c>
      <c r="D8" s="3">
        <f t="shared" si="3"/>
        <v>3</v>
      </c>
      <c r="E8" s="3">
        <v>0.57999999999999996</v>
      </c>
      <c r="F8" s="4">
        <f t="shared" si="0"/>
        <v>2919.5459999999998</v>
      </c>
      <c r="G8" s="4">
        <f t="shared" si="4"/>
        <v>57.245999999999995</v>
      </c>
      <c r="H8" s="4"/>
      <c r="I8" s="3">
        <v>11.3</v>
      </c>
      <c r="J8" s="4">
        <f t="shared" si="12"/>
        <v>18588.5</v>
      </c>
      <c r="K8" s="4">
        <f t="shared" si="5"/>
        <v>1487.08</v>
      </c>
      <c r="L8" s="3">
        <v>16.7</v>
      </c>
      <c r="M8" s="5">
        <f t="shared" si="6"/>
        <v>18.457894736842103</v>
      </c>
      <c r="N8" s="4">
        <f t="shared" si="7"/>
        <v>11773.5</v>
      </c>
      <c r="O8" s="4">
        <f t="shared" si="8"/>
        <v>941.88</v>
      </c>
      <c r="P8" s="4">
        <f t="shared" si="9"/>
        <v>208.20505263157892</v>
      </c>
      <c r="Q8" s="3">
        <v>18.2</v>
      </c>
      <c r="R8" s="6">
        <f t="shared" si="1"/>
        <v>215.5608</v>
      </c>
      <c r="S8" s="3"/>
      <c r="T8" s="3"/>
      <c r="U8" s="3">
        <v>0.8</v>
      </c>
      <c r="V8" s="5">
        <f t="shared" si="10"/>
        <v>94.751999999999981</v>
      </c>
      <c r="W8" s="3">
        <v>3.2</v>
      </c>
      <c r="X8" s="43">
        <f t="shared" si="2"/>
        <v>252.672</v>
      </c>
      <c r="Y8" s="44">
        <f t="shared" si="13"/>
        <v>0.60479999999999989</v>
      </c>
      <c r="Z8" s="45">
        <v>26</v>
      </c>
      <c r="AA8" s="44">
        <f t="shared" si="14"/>
        <v>1.2383999999999999</v>
      </c>
      <c r="AB8" s="45">
        <v>8</v>
      </c>
      <c r="AC8" s="44">
        <f t="shared" si="16"/>
        <v>2.0856719999999997</v>
      </c>
      <c r="AD8" s="48">
        <v>6</v>
      </c>
      <c r="AE8" s="44">
        <f t="shared" ref="AE8:AE10" si="17">0.88*0.43*A8*D8</f>
        <v>4.5407999999999999</v>
      </c>
      <c r="AF8" s="10">
        <v>8</v>
      </c>
      <c r="AG8" s="41">
        <f t="shared" si="15"/>
        <v>74.472431999999998</v>
      </c>
    </row>
    <row r="9" spans="1:33" x14ac:dyDescent="0.25">
      <c r="A9" s="21">
        <v>1</v>
      </c>
      <c r="B9" s="3" t="s">
        <v>5</v>
      </c>
      <c r="C9" s="3">
        <v>3.16</v>
      </c>
      <c r="D9" s="3">
        <f t="shared" si="3"/>
        <v>3.3400000000000003</v>
      </c>
      <c r="E9" s="3">
        <v>0.57999999999999996</v>
      </c>
      <c r="F9" s="4">
        <f t="shared" si="0"/>
        <v>817.88700000000006</v>
      </c>
      <c r="G9" s="4">
        <f t="shared" si="4"/>
        <v>16.037000000000003</v>
      </c>
      <c r="H9" s="4"/>
      <c r="I9" s="3">
        <v>6.53</v>
      </c>
      <c r="J9" s="4">
        <f t="shared" si="12"/>
        <v>3009.2416666666668</v>
      </c>
      <c r="K9" s="4">
        <f t="shared" si="5"/>
        <v>240.73933333333335</v>
      </c>
      <c r="L9" s="3">
        <v>18.850000000000001</v>
      </c>
      <c r="M9" s="5">
        <f t="shared" si="6"/>
        <v>20.83421052631579</v>
      </c>
      <c r="N9" s="4">
        <f t="shared" si="7"/>
        <v>3722.8750000000009</v>
      </c>
      <c r="O9" s="4">
        <f t="shared" si="8"/>
        <v>297.8300000000001</v>
      </c>
      <c r="P9" s="4">
        <f t="shared" si="9"/>
        <v>65.836105263157904</v>
      </c>
      <c r="Q9" s="3">
        <v>18</v>
      </c>
      <c r="R9" s="6">
        <f t="shared" si="1"/>
        <v>59.724000000000004</v>
      </c>
      <c r="S9" s="3"/>
      <c r="T9" s="3"/>
      <c r="U9" s="3">
        <v>0.8</v>
      </c>
      <c r="V9" s="5">
        <f t="shared" si="10"/>
        <v>26.544000000000008</v>
      </c>
      <c r="W9" s="3">
        <v>3.1</v>
      </c>
      <c r="X9" s="43">
        <f t="shared" si="2"/>
        <v>68.572000000000017</v>
      </c>
      <c r="Y9" s="44">
        <f t="shared" si="13"/>
        <v>0.16833599999999999</v>
      </c>
      <c r="Z9" s="45">
        <v>25</v>
      </c>
      <c r="AA9" s="44">
        <f t="shared" si="14"/>
        <v>0.34468800000000005</v>
      </c>
      <c r="AB9" s="45">
        <v>8</v>
      </c>
      <c r="AC9" s="44">
        <f t="shared" si="16"/>
        <v>0.58428399999999991</v>
      </c>
      <c r="AD9" s="48">
        <v>6</v>
      </c>
      <c r="AE9" s="44">
        <f t="shared" si="17"/>
        <v>1.2638560000000001</v>
      </c>
      <c r="AF9" s="10">
        <v>8</v>
      </c>
      <c r="AG9" s="41">
        <f t="shared" si="15"/>
        <v>20.582456000000001</v>
      </c>
    </row>
    <row r="10" spans="1:33" ht="15.75" thickBot="1" x14ac:dyDescent="0.3">
      <c r="A10" s="21">
        <v>1</v>
      </c>
      <c r="B10" s="3" t="s">
        <v>6</v>
      </c>
      <c r="C10" s="3">
        <v>0.9</v>
      </c>
      <c r="D10" s="3">
        <f>A1+0.18</f>
        <v>1.38</v>
      </c>
      <c r="E10" s="3">
        <v>11.14</v>
      </c>
      <c r="F10" s="4">
        <f>A10*C10*E10*51*1.05/0.12</f>
        <v>4474.1025000000009</v>
      </c>
      <c r="G10" s="4">
        <f t="shared" si="4"/>
        <v>87.72750000000002</v>
      </c>
      <c r="H10" s="4">
        <f>1.6*3.74</f>
        <v>5.9840000000000009</v>
      </c>
      <c r="I10" s="3">
        <v>0</v>
      </c>
      <c r="J10" s="4">
        <f t="shared" si="12"/>
        <v>0</v>
      </c>
      <c r="K10" s="4">
        <f t="shared" si="5"/>
        <v>0</v>
      </c>
      <c r="L10" s="3">
        <v>0</v>
      </c>
      <c r="M10" s="5">
        <f t="shared" si="6"/>
        <v>0</v>
      </c>
      <c r="N10" s="4">
        <f t="shared" si="7"/>
        <v>0</v>
      </c>
      <c r="O10" s="4">
        <f t="shared" si="8"/>
        <v>0</v>
      </c>
      <c r="P10" s="4">
        <f t="shared" si="9"/>
        <v>0</v>
      </c>
      <c r="Q10" s="3">
        <v>0</v>
      </c>
      <c r="R10" s="3">
        <f t="shared" si="1"/>
        <v>0</v>
      </c>
      <c r="S10" s="3"/>
      <c r="T10" s="3"/>
      <c r="U10" s="3">
        <v>7.5</v>
      </c>
      <c r="V10" s="5">
        <f t="shared" si="10"/>
        <v>70.875</v>
      </c>
      <c r="W10" s="3">
        <v>3.8</v>
      </c>
      <c r="X10" s="43">
        <f t="shared" si="2"/>
        <v>23.94</v>
      </c>
      <c r="Y10" s="44">
        <f>0.24*0.21*A10*A1</f>
        <v>6.0479999999999992E-2</v>
      </c>
      <c r="Z10" s="46">
        <v>25</v>
      </c>
      <c r="AA10" s="44">
        <f>0.24*0.43*A10*A1</f>
        <v>0.12383999999999999</v>
      </c>
      <c r="AB10" s="46">
        <v>8</v>
      </c>
      <c r="AC10" s="44">
        <f t="shared" si="16"/>
        <v>0.16640999999999997</v>
      </c>
      <c r="AD10" s="49">
        <v>6</v>
      </c>
      <c r="AE10" s="44">
        <f t="shared" si="17"/>
        <v>0.52219199999999999</v>
      </c>
      <c r="AF10" s="16">
        <v>8</v>
      </c>
      <c r="AG10" s="41">
        <f t="shared" si="15"/>
        <v>7.6787159999999997</v>
      </c>
    </row>
    <row r="11" spans="1:33" x14ac:dyDescent="0.25">
      <c r="A11" s="21">
        <v>1</v>
      </c>
      <c r="B11" s="3" t="s">
        <v>35</v>
      </c>
      <c r="C11" s="3">
        <v>1.2</v>
      </c>
      <c r="D11" s="3"/>
      <c r="E11" s="3">
        <v>21.7</v>
      </c>
      <c r="F11" s="4">
        <f>A11*C11*E11*51*1.05/0.12</f>
        <v>11620.35</v>
      </c>
      <c r="G11" s="4">
        <f t="shared" si="4"/>
        <v>227.85</v>
      </c>
      <c r="H11" t="s">
        <v>57</v>
      </c>
      <c r="I11" s="3"/>
      <c r="J11" s="4"/>
      <c r="K11" s="4"/>
      <c r="L11" s="3"/>
      <c r="M11" s="5"/>
      <c r="N11" s="4"/>
      <c r="O11" s="4"/>
      <c r="P11" s="4">
        <f t="shared" si="9"/>
        <v>0</v>
      </c>
      <c r="Q11" s="3"/>
      <c r="R11" s="3"/>
      <c r="S11" s="3"/>
      <c r="T11" s="3"/>
      <c r="U11" s="3"/>
      <c r="V11" s="5"/>
      <c r="W11" s="3"/>
      <c r="X11" s="5"/>
      <c r="Y11" s="41"/>
      <c r="Z11" s="41"/>
      <c r="AA11" s="41"/>
      <c r="AB11" s="41"/>
      <c r="AC11" s="41"/>
      <c r="AD11" s="41"/>
      <c r="AE11" s="41"/>
      <c r="AG11" s="41"/>
    </row>
    <row r="12" spans="1:33" x14ac:dyDescent="0.25">
      <c r="A12" s="24" t="s">
        <v>13</v>
      </c>
      <c r="B12" s="8"/>
      <c r="C12" s="8"/>
      <c r="D12" s="8"/>
      <c r="E12" s="8"/>
      <c r="F12" s="25">
        <f>SUM(F4:F11)</f>
        <v>53771.741625000002</v>
      </c>
      <c r="G12" s="25"/>
      <c r="H12" s="52">
        <f>H10*394</f>
        <v>2357.6960000000004</v>
      </c>
      <c r="I12" s="8"/>
      <c r="J12" s="25">
        <f>SUM(J4:J10)</f>
        <v>77799.516666666677</v>
      </c>
      <c r="K12" s="25"/>
      <c r="L12" s="8"/>
      <c r="M12" s="8"/>
      <c r="N12" s="25">
        <f>SUM(N4:N10)</f>
        <v>52327.412500000006</v>
      </c>
      <c r="O12" s="25"/>
      <c r="P12" s="25"/>
      <c r="Q12" s="8"/>
      <c r="R12" s="25">
        <f>SUM(R4:R10)</f>
        <v>932.2571999999999</v>
      </c>
      <c r="S12" s="26">
        <v>379324</v>
      </c>
      <c r="T12" s="26">
        <v>91693</v>
      </c>
      <c r="U12" s="8"/>
      <c r="V12" s="25">
        <f>SUM(V4:V10)</f>
        <v>645.68999999999994</v>
      </c>
      <c r="X12" s="27">
        <f>SUM(X4:X10)</f>
        <v>1251.2850000000003</v>
      </c>
    </row>
    <row r="13" spans="1:33" ht="15.75" thickBot="1" x14ac:dyDescent="0.3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0"/>
      <c r="X13" s="31"/>
    </row>
    <row r="14" spans="1:33" ht="36" customHeight="1" thickBot="1" x14ac:dyDescent="0.6">
      <c r="A14" s="20"/>
      <c r="B14" s="69" t="s">
        <v>11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70"/>
    </row>
    <row r="15" spans="1:33" ht="30.75" customHeight="1" thickBot="1" x14ac:dyDescent="0.3">
      <c r="A15" s="21"/>
      <c r="B15" s="7"/>
      <c r="C15" s="7"/>
      <c r="D15" s="51"/>
      <c r="E15" s="71" t="s">
        <v>22</v>
      </c>
      <c r="F15" s="72"/>
      <c r="G15" s="73"/>
      <c r="H15" s="40" t="s">
        <v>55</v>
      </c>
      <c r="I15" s="71" t="s">
        <v>14</v>
      </c>
      <c r="J15" s="72"/>
      <c r="K15" s="73"/>
      <c r="L15" s="71" t="s">
        <v>15</v>
      </c>
      <c r="M15" s="72"/>
      <c r="N15" s="72"/>
      <c r="O15" s="72"/>
      <c r="P15" s="73"/>
      <c r="Q15" s="71" t="s">
        <v>16</v>
      </c>
      <c r="R15" s="73"/>
      <c r="S15" s="2" t="s">
        <v>19</v>
      </c>
      <c r="T15" s="2" t="s">
        <v>20</v>
      </c>
      <c r="U15" s="71" t="s">
        <v>23</v>
      </c>
      <c r="V15" s="73"/>
      <c r="W15" s="71" t="s">
        <v>24</v>
      </c>
      <c r="X15" s="74"/>
      <c r="Y15" s="13" t="s">
        <v>48</v>
      </c>
      <c r="Z15" s="14" t="s">
        <v>52</v>
      </c>
      <c r="AA15" s="13" t="s">
        <v>49</v>
      </c>
      <c r="AB15" s="14" t="s">
        <v>52</v>
      </c>
      <c r="AC15" s="13" t="s">
        <v>50</v>
      </c>
      <c r="AD15" s="14" t="s">
        <v>52</v>
      </c>
      <c r="AE15" s="11" t="s">
        <v>51</v>
      </c>
      <c r="AF15" s="14" t="s">
        <v>52</v>
      </c>
      <c r="AG15" t="s">
        <v>13</v>
      </c>
    </row>
    <row r="16" spans="1:33" ht="30" x14ac:dyDescent="0.25">
      <c r="A16" s="21"/>
      <c r="B16" s="3"/>
      <c r="C16" s="3" t="s">
        <v>7</v>
      </c>
      <c r="D16" s="3" t="s">
        <v>53</v>
      </c>
      <c r="E16" s="3" t="s">
        <v>8</v>
      </c>
      <c r="F16" s="3" t="s">
        <v>9</v>
      </c>
      <c r="G16" s="3" t="s">
        <v>54</v>
      </c>
      <c r="H16" s="3" t="s">
        <v>56</v>
      </c>
      <c r="I16" s="3" t="s">
        <v>8</v>
      </c>
      <c r="J16" s="3" t="s">
        <v>9</v>
      </c>
      <c r="K16" s="3" t="s">
        <v>47</v>
      </c>
      <c r="L16" s="3" t="s">
        <v>17</v>
      </c>
      <c r="M16" s="3" t="s">
        <v>18</v>
      </c>
      <c r="N16" s="3" t="s">
        <v>9</v>
      </c>
      <c r="O16" s="3" t="s">
        <v>47</v>
      </c>
      <c r="P16" s="3" t="s">
        <v>56</v>
      </c>
      <c r="Q16" s="3" t="s">
        <v>8</v>
      </c>
      <c r="R16" s="3" t="s">
        <v>9</v>
      </c>
      <c r="S16" s="3"/>
      <c r="T16" s="3"/>
      <c r="U16" s="3" t="s">
        <v>8</v>
      </c>
      <c r="V16" s="3" t="s">
        <v>9</v>
      </c>
      <c r="W16" s="3" t="s">
        <v>8</v>
      </c>
      <c r="X16" s="22" t="s">
        <v>9</v>
      </c>
      <c r="Y16" s="9"/>
      <c r="Z16" s="10"/>
      <c r="AA16" s="9"/>
      <c r="AB16" s="10"/>
      <c r="AC16" s="9"/>
      <c r="AD16" s="47"/>
      <c r="AE16" s="15"/>
      <c r="AF16" s="50"/>
    </row>
    <row r="17" spans="1:33" x14ac:dyDescent="0.25">
      <c r="A17" s="21">
        <v>1</v>
      </c>
      <c r="B17" s="3" t="s">
        <v>0</v>
      </c>
      <c r="C17" s="3">
        <v>3.05</v>
      </c>
      <c r="D17" s="3">
        <f>C17+0.18</f>
        <v>3.23</v>
      </c>
      <c r="E17" s="3">
        <v>15.32</v>
      </c>
      <c r="F17" s="4">
        <f t="shared" ref="F17:F21" si="18">A17*C17*E17*51*1.05/0.12</f>
        <v>20851.477500000001</v>
      </c>
      <c r="G17" s="4">
        <f>F17/51</f>
        <v>408.85250000000002</v>
      </c>
      <c r="H17" s="4"/>
      <c r="I17" s="3">
        <v>0</v>
      </c>
      <c r="J17" s="4">
        <f>A17*C17*I17*12.5*1.05/0.09</f>
        <v>0</v>
      </c>
      <c r="K17" s="4">
        <f>J17/12.5</f>
        <v>0</v>
      </c>
      <c r="L17" s="3">
        <v>9.68</v>
      </c>
      <c r="M17" s="5">
        <f>L17/0.19*0.21</f>
        <v>10.698947368421052</v>
      </c>
      <c r="N17" s="4">
        <f>A17*C17*L17*12.5*1.05/0.21</f>
        <v>1845.2499999999998</v>
      </c>
      <c r="O17" s="4">
        <f>N17/12.5</f>
        <v>147.61999999999998</v>
      </c>
      <c r="P17" s="4">
        <f>M17*C17*A17</f>
        <v>32.631789473684208</v>
      </c>
      <c r="Q17" s="3">
        <v>0</v>
      </c>
      <c r="R17" s="3">
        <f t="shared" ref="R17:R22" si="19">A17*C17*Q17*1.05</f>
        <v>0</v>
      </c>
      <c r="S17" s="3"/>
      <c r="T17" s="3"/>
      <c r="U17" s="3">
        <v>2.72</v>
      </c>
      <c r="V17" s="5">
        <f>(A17*C17*U17*1.05/0.1)+4.8</f>
        <v>91.907999999999987</v>
      </c>
      <c r="W17" s="3">
        <v>7.8</v>
      </c>
      <c r="X17" s="23">
        <f t="shared" ref="X17:X22" si="20">A17*C17*W17*1.05/0.15</f>
        <v>166.53000000000003</v>
      </c>
      <c r="Y17" s="44"/>
      <c r="Z17" s="45"/>
      <c r="AA17" s="44"/>
      <c r="AB17" s="45"/>
      <c r="AC17" s="44"/>
      <c r="AD17" s="48"/>
      <c r="AE17" s="44"/>
      <c r="AF17" s="10"/>
    </row>
    <row r="18" spans="1:33" x14ac:dyDescent="0.25">
      <c r="A18" s="21">
        <v>1</v>
      </c>
      <c r="B18" s="3" t="s">
        <v>1</v>
      </c>
      <c r="C18" s="3">
        <v>3.16</v>
      </c>
      <c r="D18" s="3">
        <f t="shared" ref="D18:D21" si="21">C18+0.18</f>
        <v>3.3400000000000003</v>
      </c>
      <c r="E18" s="3">
        <v>0.7</v>
      </c>
      <c r="F18" s="4">
        <f t="shared" si="18"/>
        <v>987.1049999999999</v>
      </c>
      <c r="G18" s="4">
        <f t="shared" ref="G18:G23" si="22">F18/51</f>
        <v>19.354999999999997</v>
      </c>
      <c r="H18" s="4"/>
      <c r="I18" s="3">
        <v>11.3</v>
      </c>
      <c r="J18" s="4">
        <f t="shared" ref="J18:J22" si="23">A18*C18*I18*12.5*1.05/0.09</f>
        <v>5207.4166666666679</v>
      </c>
      <c r="K18" s="4">
        <f t="shared" ref="K18:K22" si="24">J18/12.5</f>
        <v>416.59333333333342</v>
      </c>
      <c r="L18" s="3">
        <v>17.600000000000001</v>
      </c>
      <c r="M18" s="5">
        <f t="shared" ref="M18:M22" si="25">L18/0.19*0.21</f>
        <v>19.452631578947368</v>
      </c>
      <c r="N18" s="4">
        <f t="shared" ref="N18:N21" si="26">A18*C18*L18*12.5*1.05/0.21</f>
        <v>3476.0000000000005</v>
      </c>
      <c r="O18" s="4">
        <f t="shared" ref="O18:O22" si="27">N18/12.5</f>
        <v>278.08000000000004</v>
      </c>
      <c r="P18" s="4">
        <f t="shared" ref="P18:P23" si="28">M18*C18*A18</f>
        <v>61.470315789473688</v>
      </c>
      <c r="Q18" s="3">
        <v>15.3</v>
      </c>
      <c r="R18" s="6">
        <f t="shared" si="19"/>
        <v>50.765400000000007</v>
      </c>
      <c r="S18" s="3"/>
      <c r="T18" s="3"/>
      <c r="U18" s="3">
        <v>2</v>
      </c>
      <c r="V18" s="5">
        <f>A18*C18*U18*1.05/0.1</f>
        <v>66.36</v>
      </c>
      <c r="W18" s="3">
        <v>2.46</v>
      </c>
      <c r="X18" s="23">
        <f t="shared" si="20"/>
        <v>54.415200000000006</v>
      </c>
      <c r="Y18" s="44">
        <f>0.24*0.21*A18*D18</f>
        <v>0.16833599999999999</v>
      </c>
      <c r="Z18" s="45">
        <v>21</v>
      </c>
      <c r="AA18" s="44">
        <f>0.24*0.43*A18*D18</f>
        <v>0.34468800000000005</v>
      </c>
      <c r="AB18" s="45">
        <v>0</v>
      </c>
      <c r="AC18" s="44">
        <f>0.43*0.43*A18*D18</f>
        <v>0.61756599999999995</v>
      </c>
      <c r="AD18" s="48">
        <v>0</v>
      </c>
      <c r="AE18" s="44">
        <f t="shared" ref="AE18:AE19" si="29">0.88*0.43*A18*D18</f>
        <v>1.2638560000000001</v>
      </c>
      <c r="AF18" s="10">
        <v>0</v>
      </c>
      <c r="AG18" s="41">
        <f>(Y18*Z18)+(AA18*AB18)+(AC18*AD18)+(AE18*AF18)</f>
        <v>3.5350559999999995</v>
      </c>
    </row>
    <row r="19" spans="1:33" x14ac:dyDescent="0.25">
      <c r="A19" s="21">
        <v>2</v>
      </c>
      <c r="B19" s="3" t="s">
        <v>2</v>
      </c>
      <c r="C19" s="3">
        <v>2.82</v>
      </c>
      <c r="D19" s="3">
        <f t="shared" si="21"/>
        <v>3</v>
      </c>
      <c r="E19" s="3">
        <v>0.52</v>
      </c>
      <c r="F19" s="4">
        <f t="shared" si="18"/>
        <v>1308.7620000000002</v>
      </c>
      <c r="G19" s="4">
        <f t="shared" si="22"/>
        <v>25.662000000000003</v>
      </c>
      <c r="H19" s="4"/>
      <c r="I19" s="3">
        <v>11.74</v>
      </c>
      <c r="J19" s="4">
        <f t="shared" si="23"/>
        <v>9656.15</v>
      </c>
      <c r="K19" s="4">
        <f t="shared" si="24"/>
        <v>772.49199999999996</v>
      </c>
      <c r="L19" s="3">
        <v>18.559999999999999</v>
      </c>
      <c r="M19" s="5">
        <f t="shared" si="25"/>
        <v>20.513684210526314</v>
      </c>
      <c r="N19" s="4">
        <f t="shared" si="26"/>
        <v>6542.3999999999987</v>
      </c>
      <c r="O19" s="4">
        <f t="shared" si="27"/>
        <v>523.39199999999994</v>
      </c>
      <c r="P19" s="4">
        <f t="shared" si="28"/>
        <v>115.6971789473684</v>
      </c>
      <c r="Q19" s="3">
        <v>14.34</v>
      </c>
      <c r="R19" s="6">
        <f t="shared" si="19"/>
        <v>84.921480000000003</v>
      </c>
      <c r="S19" s="3"/>
      <c r="T19" s="3"/>
      <c r="U19" s="3">
        <v>2</v>
      </c>
      <c r="V19" s="5">
        <f>A19*C19*U19*1.05/0.1</f>
        <v>118.43999999999998</v>
      </c>
      <c r="W19" s="3">
        <v>2.46</v>
      </c>
      <c r="X19" s="23">
        <f t="shared" si="20"/>
        <v>97.120800000000003</v>
      </c>
      <c r="Y19" s="44">
        <f>0.24*0.21*A19*D19</f>
        <v>0.30239999999999995</v>
      </c>
      <c r="Z19" s="45">
        <v>21</v>
      </c>
      <c r="AA19" s="44">
        <f t="shared" ref="AA19:AA22" si="30">0.24*0.43*A19*D19</f>
        <v>0.61919999999999997</v>
      </c>
      <c r="AB19" s="45">
        <v>0</v>
      </c>
      <c r="AC19" s="44">
        <f>0.43*0.43*A19*C19</f>
        <v>1.0428359999999999</v>
      </c>
      <c r="AD19" s="48">
        <v>8</v>
      </c>
      <c r="AE19" s="44">
        <f t="shared" si="29"/>
        <v>2.2704</v>
      </c>
      <c r="AF19" s="10">
        <v>7</v>
      </c>
      <c r="AG19" s="41">
        <f>(Y19*Z19)+(AA19*AB19)+(AC19*AD19)+(AE19*AF19)</f>
        <v>30.585887999999997</v>
      </c>
    </row>
    <row r="20" spans="1:33" x14ac:dyDescent="0.25">
      <c r="A20" s="21">
        <v>13</v>
      </c>
      <c r="B20" s="3" t="s">
        <v>21</v>
      </c>
      <c r="C20" s="3">
        <v>2.82</v>
      </c>
      <c r="D20" s="3">
        <f t="shared" si="21"/>
        <v>3</v>
      </c>
      <c r="E20" s="3">
        <v>0.52</v>
      </c>
      <c r="F20" s="4">
        <f t="shared" si="18"/>
        <v>8506.9529999999995</v>
      </c>
      <c r="G20" s="4">
        <f t="shared" si="22"/>
        <v>166.803</v>
      </c>
      <c r="H20" s="4"/>
      <c r="I20" s="3">
        <v>11.6</v>
      </c>
      <c r="J20" s="4">
        <f t="shared" si="23"/>
        <v>62016.5</v>
      </c>
      <c r="K20" s="4">
        <f t="shared" si="24"/>
        <v>4961.32</v>
      </c>
      <c r="L20" s="3">
        <v>18.600000000000001</v>
      </c>
      <c r="M20" s="5">
        <f t="shared" si="25"/>
        <v>20.557894736842108</v>
      </c>
      <c r="N20" s="4">
        <f t="shared" si="26"/>
        <v>42617.25</v>
      </c>
      <c r="O20" s="4">
        <f t="shared" si="27"/>
        <v>3409.38</v>
      </c>
      <c r="P20" s="4">
        <f t="shared" si="28"/>
        <v>753.65242105263167</v>
      </c>
      <c r="Q20" s="3">
        <v>14.32</v>
      </c>
      <c r="R20" s="6">
        <f t="shared" si="19"/>
        <v>551.21975999999995</v>
      </c>
      <c r="S20" s="3"/>
      <c r="T20" s="3"/>
      <c r="U20" s="3">
        <v>2</v>
      </c>
      <c r="V20" s="5">
        <f>A20*C20*U20*1.05/0.1</f>
        <v>769.8599999999999</v>
      </c>
      <c r="W20" s="3">
        <v>2.4</v>
      </c>
      <c r="X20" s="23">
        <f t="shared" si="20"/>
        <v>615.88800000000003</v>
      </c>
      <c r="Y20" s="44">
        <f t="shared" ref="Y20:Y22" si="31">0.24*0.21*A20*D20</f>
        <v>1.9655999999999998</v>
      </c>
      <c r="Z20" s="45">
        <v>28</v>
      </c>
      <c r="AA20" s="44">
        <f t="shared" si="30"/>
        <v>4.0247999999999999</v>
      </c>
      <c r="AB20" s="45">
        <v>0</v>
      </c>
      <c r="AC20" s="44">
        <f t="shared" ref="AC20:AC22" si="32">0.43*0.43*A20*C20</f>
        <v>6.778433999999999</v>
      </c>
      <c r="AD20" s="48">
        <v>10</v>
      </c>
      <c r="AE20" s="44">
        <f>0.88*0.43*A20*D20</f>
        <v>14.7576</v>
      </c>
      <c r="AF20" s="10">
        <v>7</v>
      </c>
      <c r="AG20" s="41">
        <f t="shared" ref="AG20:AG22" si="33">(Y20*Z20)+(AA20*AB20)+(AC20*AD20)+(AE20*AF20)</f>
        <v>226.12433999999999</v>
      </c>
    </row>
    <row r="21" spans="1:33" x14ac:dyDescent="0.25">
      <c r="A21" s="21">
        <v>1</v>
      </c>
      <c r="B21" s="3" t="s">
        <v>5</v>
      </c>
      <c r="C21" s="3">
        <v>3.16</v>
      </c>
      <c r="D21" s="3">
        <f t="shared" si="21"/>
        <v>3.3400000000000003</v>
      </c>
      <c r="E21" s="3">
        <v>0.52</v>
      </c>
      <c r="F21" s="4">
        <f t="shared" si="18"/>
        <v>733.27800000000013</v>
      </c>
      <c r="G21" s="4">
        <f t="shared" si="22"/>
        <v>14.378000000000002</v>
      </c>
      <c r="H21" s="4"/>
      <c r="I21" s="3">
        <v>4.9000000000000004</v>
      </c>
      <c r="J21" s="4">
        <f t="shared" si="23"/>
        <v>2258.0833333333335</v>
      </c>
      <c r="K21" s="4">
        <f t="shared" si="24"/>
        <v>180.64666666666668</v>
      </c>
      <c r="L21" s="3">
        <v>21.82</v>
      </c>
      <c r="M21" s="5">
        <f t="shared" si="25"/>
        <v>24.116842105263157</v>
      </c>
      <c r="N21" s="4">
        <f t="shared" si="26"/>
        <v>4309.4500000000007</v>
      </c>
      <c r="O21" s="4">
        <f t="shared" si="27"/>
        <v>344.75600000000009</v>
      </c>
      <c r="P21" s="4">
        <f t="shared" si="28"/>
        <v>76.209221052631577</v>
      </c>
      <c r="Q21" s="3">
        <v>14.32</v>
      </c>
      <c r="R21" s="6">
        <f t="shared" si="19"/>
        <v>47.513760000000005</v>
      </c>
      <c r="S21" s="3"/>
      <c r="T21" s="3"/>
      <c r="U21" s="3">
        <v>2</v>
      </c>
      <c r="V21" s="5">
        <f>A21*C21*U21*1.05/0.1</f>
        <v>66.36</v>
      </c>
      <c r="W21" s="3">
        <v>2.4700000000000002</v>
      </c>
      <c r="X21" s="23">
        <f t="shared" si="20"/>
        <v>54.636400000000009</v>
      </c>
      <c r="Y21" s="44">
        <f t="shared" si="31"/>
        <v>0.16833599999999999</v>
      </c>
      <c r="Z21" s="45">
        <v>28</v>
      </c>
      <c r="AA21" s="44">
        <f t="shared" si="30"/>
        <v>0.34468800000000005</v>
      </c>
      <c r="AB21" s="45">
        <v>0</v>
      </c>
      <c r="AC21" s="44">
        <f t="shared" si="32"/>
        <v>0.58428399999999991</v>
      </c>
      <c r="AD21" s="48">
        <v>10</v>
      </c>
      <c r="AE21" s="44">
        <f t="shared" ref="AE21:AE22" si="34">0.88*0.43*A21*D21</f>
        <v>1.2638560000000001</v>
      </c>
      <c r="AF21" s="10">
        <v>7</v>
      </c>
      <c r="AG21" s="41">
        <f t="shared" si="33"/>
        <v>19.403239999999997</v>
      </c>
    </row>
    <row r="22" spans="1:33" x14ac:dyDescent="0.25">
      <c r="A22" s="21">
        <v>1</v>
      </c>
      <c r="B22" s="3" t="s">
        <v>6</v>
      </c>
      <c r="C22" s="3">
        <v>0.9</v>
      </c>
      <c r="D22" s="3">
        <f>A1+0.18</f>
        <v>1.38</v>
      </c>
      <c r="E22" s="3">
        <v>8.1300000000000008</v>
      </c>
      <c r="F22" s="4">
        <f>A22*C22*E22*51*1.05/0.12</f>
        <v>3265.2112500000007</v>
      </c>
      <c r="G22" s="4">
        <f t="shared" si="22"/>
        <v>64.023750000000021</v>
      </c>
      <c r="H22" s="4">
        <f>1.6*3.74</f>
        <v>5.9840000000000009</v>
      </c>
      <c r="I22" s="3">
        <v>0</v>
      </c>
      <c r="J22" s="4">
        <f t="shared" si="23"/>
        <v>0</v>
      </c>
      <c r="K22" s="4">
        <f t="shared" si="24"/>
        <v>0</v>
      </c>
      <c r="L22" s="3">
        <v>0</v>
      </c>
      <c r="M22" s="3">
        <f t="shared" si="25"/>
        <v>0</v>
      </c>
      <c r="N22" s="4">
        <f>A22*C22*L22*12.5*1.05/0.21</f>
        <v>0</v>
      </c>
      <c r="O22" s="4">
        <f t="shared" si="27"/>
        <v>0</v>
      </c>
      <c r="P22" s="4">
        <f t="shared" si="28"/>
        <v>0</v>
      </c>
      <c r="Q22" s="3">
        <v>0</v>
      </c>
      <c r="R22" s="3">
        <f t="shared" si="19"/>
        <v>0</v>
      </c>
      <c r="S22" s="3"/>
      <c r="T22" s="3"/>
      <c r="U22" s="3">
        <v>7</v>
      </c>
      <c r="V22" s="5">
        <f>A22*C22*U22*1.05/0.1</f>
        <v>66.149999999999991</v>
      </c>
      <c r="W22" s="3">
        <v>3.8</v>
      </c>
      <c r="X22" s="23">
        <f t="shared" si="20"/>
        <v>23.94</v>
      </c>
      <c r="Y22" s="44">
        <f t="shared" si="31"/>
        <v>6.9551999999999989E-2</v>
      </c>
      <c r="Z22" s="45">
        <v>28</v>
      </c>
      <c r="AA22" s="44">
        <f t="shared" si="30"/>
        <v>0.14241599999999999</v>
      </c>
      <c r="AB22" s="45">
        <v>0</v>
      </c>
      <c r="AC22" s="44">
        <f t="shared" si="32"/>
        <v>0.16640999999999997</v>
      </c>
      <c r="AD22" s="48">
        <v>10</v>
      </c>
      <c r="AE22" s="44">
        <f t="shared" si="34"/>
        <v>0.52219199999999999</v>
      </c>
      <c r="AF22" s="10">
        <v>7</v>
      </c>
      <c r="AG22" s="41">
        <f t="shared" si="33"/>
        <v>7.2668999999999997</v>
      </c>
    </row>
    <row r="23" spans="1:33" ht="15.75" thickBot="1" x14ac:dyDescent="0.3">
      <c r="A23" s="21">
        <v>1</v>
      </c>
      <c r="B23" s="3" t="s">
        <v>35</v>
      </c>
      <c r="C23" s="3">
        <v>1.2</v>
      </c>
      <c r="D23" s="3"/>
      <c r="E23" s="3">
        <v>20</v>
      </c>
      <c r="F23" s="4">
        <f>A23*C23*E23*51*1.05/0.12</f>
        <v>10710</v>
      </c>
      <c r="G23" s="4">
        <f t="shared" si="22"/>
        <v>210</v>
      </c>
      <c r="H23" s="4"/>
      <c r="I23" s="3"/>
      <c r="J23" s="4"/>
      <c r="K23" s="4"/>
      <c r="L23" s="3"/>
      <c r="M23" s="3"/>
      <c r="N23" s="4"/>
      <c r="O23" s="4"/>
      <c r="P23" s="4">
        <f t="shared" si="28"/>
        <v>0</v>
      </c>
      <c r="Q23" s="3"/>
      <c r="R23" s="3"/>
      <c r="S23" s="3"/>
      <c r="T23" s="3"/>
      <c r="U23" s="3"/>
      <c r="V23" s="5"/>
      <c r="W23" s="3"/>
      <c r="X23" s="5"/>
      <c r="Y23" s="44"/>
      <c r="Z23" s="46"/>
      <c r="AA23" s="44"/>
      <c r="AB23" s="46"/>
      <c r="AC23" s="44"/>
      <c r="AD23" s="49"/>
      <c r="AE23" s="44"/>
      <c r="AF23" s="16"/>
      <c r="AG23" s="41"/>
    </row>
    <row r="24" spans="1:33" x14ac:dyDescent="0.25">
      <c r="A24" s="24" t="s">
        <v>13</v>
      </c>
      <c r="B24" s="8"/>
      <c r="C24" s="8"/>
      <c r="D24" s="8"/>
      <c r="E24" s="8"/>
      <c r="F24" s="25">
        <f>SUM(F17:F23)</f>
        <v>46362.786749999999</v>
      </c>
      <c r="G24" s="25"/>
      <c r="H24" s="25"/>
      <c r="I24" s="8"/>
      <c r="J24" s="25">
        <f>SUM(J17:J22)</f>
        <v>79138.149999999994</v>
      </c>
      <c r="K24" s="25"/>
      <c r="L24" s="8"/>
      <c r="M24" s="8"/>
      <c r="N24" s="25">
        <f>SUM(N17:N22)</f>
        <v>58790.349999999991</v>
      </c>
      <c r="O24" s="25"/>
      <c r="P24" s="4"/>
      <c r="Q24" s="8"/>
      <c r="R24" s="25">
        <f>SUM(R17:R22)</f>
        <v>734.42039999999997</v>
      </c>
      <c r="S24" s="26">
        <v>320497</v>
      </c>
      <c r="T24" s="26">
        <v>123205</v>
      </c>
      <c r="U24" s="8"/>
      <c r="V24" s="25">
        <f>SUM(V17:V22)</f>
        <v>1179.0779999999997</v>
      </c>
      <c r="W24" s="8"/>
      <c r="X24" s="27">
        <f>SUM(X17:X22)</f>
        <v>1012.5304000000001</v>
      </c>
    </row>
    <row r="25" spans="1:33" ht="15.75" thickBot="1" x14ac:dyDescent="0.3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0"/>
      <c r="X25" s="31"/>
    </row>
    <row r="26" spans="1:33" ht="36" customHeight="1" thickBot="1" x14ac:dyDescent="0.6">
      <c r="A26" s="20"/>
      <c r="B26" s="69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70"/>
    </row>
    <row r="27" spans="1:33" ht="30.75" customHeight="1" thickBot="1" x14ac:dyDescent="0.3">
      <c r="A27" s="21"/>
      <c r="B27" s="3"/>
      <c r="C27" s="3"/>
      <c r="D27" s="42"/>
      <c r="E27" s="71" t="s">
        <v>22</v>
      </c>
      <c r="F27" s="72"/>
      <c r="G27" s="73"/>
      <c r="H27" s="40" t="s">
        <v>55</v>
      </c>
      <c r="I27" s="71" t="s">
        <v>14</v>
      </c>
      <c r="J27" s="72"/>
      <c r="K27" s="73"/>
      <c r="L27" s="71" t="s">
        <v>15</v>
      </c>
      <c r="M27" s="72"/>
      <c r="N27" s="72"/>
      <c r="O27" s="72"/>
      <c r="P27" s="73"/>
      <c r="Q27" s="71" t="s">
        <v>16</v>
      </c>
      <c r="R27" s="73"/>
      <c r="S27" s="2" t="s">
        <v>19</v>
      </c>
      <c r="T27" s="2" t="s">
        <v>20</v>
      </c>
      <c r="U27" s="71" t="s">
        <v>23</v>
      </c>
      <c r="V27" s="73"/>
      <c r="W27" s="71" t="s">
        <v>24</v>
      </c>
      <c r="X27" s="74"/>
      <c r="Y27" s="13" t="s">
        <v>48</v>
      </c>
      <c r="Z27" s="14" t="s">
        <v>52</v>
      </c>
      <c r="AA27" s="13" t="s">
        <v>49</v>
      </c>
      <c r="AB27" s="14" t="s">
        <v>52</v>
      </c>
      <c r="AC27" s="13" t="s">
        <v>50</v>
      </c>
      <c r="AD27" s="14" t="s">
        <v>52</v>
      </c>
      <c r="AE27" s="11" t="s">
        <v>51</v>
      </c>
      <c r="AF27" s="14" t="s">
        <v>52</v>
      </c>
      <c r="AG27" t="s">
        <v>13</v>
      </c>
    </row>
    <row r="28" spans="1:33" ht="30" x14ac:dyDescent="0.25">
      <c r="A28" s="21"/>
      <c r="B28" s="3"/>
      <c r="C28" s="3" t="s">
        <v>7</v>
      </c>
      <c r="D28" s="3" t="s">
        <v>53</v>
      </c>
      <c r="E28" s="3" t="s">
        <v>8</v>
      </c>
      <c r="F28" s="3" t="s">
        <v>9</v>
      </c>
      <c r="G28" s="3" t="s">
        <v>54</v>
      </c>
      <c r="H28" s="3" t="s">
        <v>56</v>
      </c>
      <c r="I28" s="3" t="s">
        <v>8</v>
      </c>
      <c r="J28" s="3" t="s">
        <v>9</v>
      </c>
      <c r="K28" s="3" t="s">
        <v>47</v>
      </c>
      <c r="L28" s="3" t="s">
        <v>17</v>
      </c>
      <c r="M28" s="3" t="s">
        <v>18</v>
      </c>
      <c r="N28" s="3" t="s">
        <v>9</v>
      </c>
      <c r="O28" s="3" t="s">
        <v>47</v>
      </c>
      <c r="P28" s="3" t="s">
        <v>56</v>
      </c>
      <c r="Q28" s="3" t="s">
        <v>8</v>
      </c>
      <c r="R28" s="3" t="s">
        <v>9</v>
      </c>
      <c r="S28" s="3"/>
      <c r="T28" s="3"/>
      <c r="U28" s="3" t="s">
        <v>8</v>
      </c>
      <c r="V28" s="3" t="s">
        <v>9</v>
      </c>
      <c r="W28" s="3" t="s">
        <v>8</v>
      </c>
      <c r="X28" s="22" t="s">
        <v>9</v>
      </c>
      <c r="Y28" s="9"/>
      <c r="Z28" s="10"/>
      <c r="AA28" s="9"/>
      <c r="AB28" s="10"/>
      <c r="AC28" s="9"/>
      <c r="AD28" s="47"/>
      <c r="AE28" s="15"/>
      <c r="AF28" s="50"/>
    </row>
    <row r="29" spans="1:33" x14ac:dyDescent="0.25">
      <c r="A29" s="21">
        <v>1</v>
      </c>
      <c r="B29" s="3" t="s">
        <v>0</v>
      </c>
      <c r="C29" s="3">
        <v>3.05</v>
      </c>
      <c r="D29" s="3">
        <f>C29+0.18</f>
        <v>3.23</v>
      </c>
      <c r="E29" s="3">
        <v>16.329999999999998</v>
      </c>
      <c r="F29" s="4">
        <f t="shared" ref="F29:F33" si="35">A29*C29*E29*51*1.05/0.12</f>
        <v>22226.150624999995</v>
      </c>
      <c r="G29" s="4">
        <f>F29/51</f>
        <v>435.80687499999988</v>
      </c>
      <c r="H29" s="4"/>
      <c r="I29" s="3">
        <v>0</v>
      </c>
      <c r="J29" s="4">
        <f>A29*C29*I29*12.5*1.05/0.09</f>
        <v>0</v>
      </c>
      <c r="K29" s="4">
        <f>J29/12.5</f>
        <v>0</v>
      </c>
      <c r="L29" s="3">
        <v>11.66</v>
      </c>
      <c r="M29" s="5">
        <f>L29/0.19*0.21</f>
        <v>12.887368421052631</v>
      </c>
      <c r="N29" s="4">
        <f>A29*C29*L29*12.5*1.05/0.21</f>
        <v>2222.6875</v>
      </c>
      <c r="O29" s="4">
        <f>N29/12.5</f>
        <v>177.815</v>
      </c>
      <c r="P29" s="4">
        <f>M29*C29*A29</f>
        <v>39.306473684210523</v>
      </c>
      <c r="Q29" s="3">
        <v>0</v>
      </c>
      <c r="R29" s="3">
        <f t="shared" ref="R29:R35" si="36">A29*C29*Q29*1.05</f>
        <v>0</v>
      </c>
      <c r="S29" s="3"/>
      <c r="T29" s="3"/>
      <c r="U29" s="3">
        <v>1.2</v>
      </c>
      <c r="V29" s="3">
        <f>(A29*C29*U29*1.05/0.1)+4.8</f>
        <v>43.23</v>
      </c>
      <c r="W29" s="3">
        <v>7</v>
      </c>
      <c r="X29" s="23">
        <f t="shared" ref="X29:X34" si="37">A29*C29*W29*1.05/0.15</f>
        <v>149.45000000000002</v>
      </c>
      <c r="Y29" s="44"/>
      <c r="Z29" s="45"/>
      <c r="AA29" s="44"/>
      <c r="AB29" s="45"/>
      <c r="AC29" s="44"/>
      <c r="AD29" s="48"/>
      <c r="AE29" s="44"/>
      <c r="AF29" s="10"/>
    </row>
    <row r="30" spans="1:33" x14ac:dyDescent="0.25">
      <c r="A30" s="21">
        <v>1</v>
      </c>
      <c r="B30" s="3" t="s">
        <v>1</v>
      </c>
      <c r="C30" s="3">
        <v>3.16</v>
      </c>
      <c r="D30" s="3">
        <f t="shared" ref="D30:D33" si="38">C30+0.18</f>
        <v>3.3400000000000003</v>
      </c>
      <c r="E30" s="3">
        <v>0.82</v>
      </c>
      <c r="F30" s="4">
        <f t="shared" si="35"/>
        <v>1156.3230000000003</v>
      </c>
      <c r="G30" s="4">
        <f t="shared" ref="G30:G35" si="39">F30/51</f>
        <v>22.673000000000005</v>
      </c>
      <c r="H30" s="4"/>
      <c r="I30" s="3">
        <v>10.52</v>
      </c>
      <c r="J30" s="4">
        <f t="shared" ref="J30:J34" si="40">A30*C30*I30*12.5*1.05/0.09</f>
        <v>4847.9666666666672</v>
      </c>
      <c r="K30" s="4">
        <f t="shared" ref="K30:K34" si="41">J30/12.5</f>
        <v>387.83733333333339</v>
      </c>
      <c r="L30" s="3">
        <v>19.170000000000002</v>
      </c>
      <c r="M30" s="5">
        <f t="shared" ref="M30:M34" si="42">L30/0.19*0.21</f>
        <v>21.187894736842107</v>
      </c>
      <c r="N30" s="4">
        <f t="shared" ref="N30:N34" si="43">A30*C30*L30*12.5*1.05/0.21</f>
        <v>3786.0750000000007</v>
      </c>
      <c r="O30" s="4">
        <f t="shared" ref="O30:O34" si="44">N30/12.5</f>
        <v>302.88600000000008</v>
      </c>
      <c r="P30" s="4">
        <f t="shared" ref="P30:P35" si="45">M30*C30*A30</f>
        <v>66.953747368421062</v>
      </c>
      <c r="Q30" s="3">
        <v>15</v>
      </c>
      <c r="R30" s="6">
        <f t="shared" si="36"/>
        <v>49.77000000000001</v>
      </c>
      <c r="S30" s="3"/>
      <c r="T30" s="3"/>
      <c r="U30" s="3">
        <v>0.5</v>
      </c>
      <c r="V30" s="3">
        <f>A30*C30*U30*1.05/0.1</f>
        <v>16.59</v>
      </c>
      <c r="W30" s="3">
        <v>2.5</v>
      </c>
      <c r="X30" s="23">
        <f t="shared" si="37"/>
        <v>55.300000000000004</v>
      </c>
      <c r="Y30" s="44">
        <f>0.24*0.21*A30*D30</f>
        <v>0.16833599999999999</v>
      </c>
      <c r="Z30" s="45">
        <v>23</v>
      </c>
      <c r="AA30" s="44">
        <f>0.24*0.43*A30*D30</f>
        <v>0.34468800000000005</v>
      </c>
      <c r="AB30" s="45">
        <v>0</v>
      </c>
      <c r="AC30" s="44">
        <f>0.43*0.43*A30*D30</f>
        <v>0.61756599999999995</v>
      </c>
      <c r="AD30" s="48">
        <v>0</v>
      </c>
      <c r="AE30" s="44">
        <f t="shared" ref="AE30:AE31" si="46">0.88*0.43*A30*D30</f>
        <v>1.2638560000000001</v>
      </c>
      <c r="AF30" s="10">
        <v>0</v>
      </c>
      <c r="AG30" s="41">
        <f>(Y30*Z30)+(AA30*AB30)+(AC30*AD30)+(AE30*AF30)</f>
        <v>3.8717279999999996</v>
      </c>
    </row>
    <row r="31" spans="1:33" x14ac:dyDescent="0.25">
      <c r="A31" s="21">
        <v>2</v>
      </c>
      <c r="B31" s="3" t="s">
        <v>2</v>
      </c>
      <c r="C31" s="3">
        <v>2.82</v>
      </c>
      <c r="D31" s="3">
        <f t="shared" si="38"/>
        <v>3</v>
      </c>
      <c r="E31" s="3">
        <v>0.55000000000000004</v>
      </c>
      <c r="F31" s="4">
        <f t="shared" si="35"/>
        <v>1384.2674999999999</v>
      </c>
      <c r="G31" s="4">
        <f t="shared" si="39"/>
        <v>27.142499999999998</v>
      </c>
      <c r="H31" s="4"/>
      <c r="I31" s="3">
        <v>10.8</v>
      </c>
      <c r="J31" s="4">
        <f t="shared" si="40"/>
        <v>8883</v>
      </c>
      <c r="K31" s="4">
        <f t="shared" si="41"/>
        <v>710.64</v>
      </c>
      <c r="L31" s="3">
        <v>19.440000000000001</v>
      </c>
      <c r="M31" s="5">
        <f t="shared" si="42"/>
        <v>21.486315789473686</v>
      </c>
      <c r="N31" s="4">
        <f t="shared" si="43"/>
        <v>6852.6</v>
      </c>
      <c r="O31" s="4">
        <f t="shared" si="44"/>
        <v>548.20800000000008</v>
      </c>
      <c r="P31" s="4">
        <f t="shared" si="45"/>
        <v>121.18282105263158</v>
      </c>
      <c r="Q31" s="3">
        <v>14.8</v>
      </c>
      <c r="R31" s="6">
        <f t="shared" si="36"/>
        <v>87.645600000000002</v>
      </c>
      <c r="S31" s="3"/>
      <c r="T31" s="3"/>
      <c r="U31" s="3">
        <v>0.5</v>
      </c>
      <c r="V31" s="3">
        <f>A31*C31*U31*1.05/0.1</f>
        <v>29.609999999999996</v>
      </c>
      <c r="W31" s="3">
        <v>2.5</v>
      </c>
      <c r="X31" s="23">
        <f t="shared" si="37"/>
        <v>98.7</v>
      </c>
      <c r="Y31" s="44">
        <f>0.24*0.21*A31*D31</f>
        <v>0.30239999999999995</v>
      </c>
      <c r="Z31" s="45">
        <v>28</v>
      </c>
      <c r="AA31" s="44">
        <f t="shared" ref="AA31:AA34" si="47">0.24*0.43*A31*D31</f>
        <v>0.61919999999999997</v>
      </c>
      <c r="AB31" s="45">
        <v>0</v>
      </c>
      <c r="AC31" s="44">
        <f>0.43*0.43*A31*C31</f>
        <v>1.0428359999999999</v>
      </c>
      <c r="AD31" s="48">
        <v>9.5</v>
      </c>
      <c r="AE31" s="44">
        <f t="shared" si="46"/>
        <v>2.2704</v>
      </c>
      <c r="AF31" s="10">
        <v>6</v>
      </c>
      <c r="AG31" s="41">
        <f>(Y31*Z31)+(AA31*AB31)+(AC31*AD31)+(AE31*AF31)</f>
        <v>31.996541999999998</v>
      </c>
    </row>
    <row r="32" spans="1:33" x14ac:dyDescent="0.25">
      <c r="A32" s="21">
        <v>13</v>
      </c>
      <c r="B32" s="3" t="s">
        <v>21</v>
      </c>
      <c r="C32" s="3">
        <v>2.82</v>
      </c>
      <c r="D32" s="3">
        <f t="shared" si="38"/>
        <v>3</v>
      </c>
      <c r="E32" s="3">
        <v>0.54</v>
      </c>
      <c r="F32" s="4">
        <f t="shared" si="35"/>
        <v>8834.1435000000001</v>
      </c>
      <c r="G32" s="4">
        <f t="shared" si="39"/>
        <v>173.21850000000001</v>
      </c>
      <c r="H32" s="4"/>
      <c r="I32" s="3">
        <v>10.95</v>
      </c>
      <c r="J32" s="4">
        <f t="shared" si="40"/>
        <v>58541.4375</v>
      </c>
      <c r="K32" s="4">
        <f t="shared" si="41"/>
        <v>4683.3149999999996</v>
      </c>
      <c r="L32" s="3">
        <v>19.23</v>
      </c>
      <c r="M32" s="5">
        <f t="shared" si="42"/>
        <v>21.254210526315791</v>
      </c>
      <c r="N32" s="4">
        <f t="shared" si="43"/>
        <v>44060.737499999996</v>
      </c>
      <c r="O32" s="4">
        <f t="shared" si="44"/>
        <v>3524.8589999999995</v>
      </c>
      <c r="P32" s="4">
        <f t="shared" si="45"/>
        <v>779.17935789473677</v>
      </c>
      <c r="Q32" s="3">
        <v>14.8</v>
      </c>
      <c r="R32" s="6">
        <f t="shared" si="36"/>
        <v>569.69640000000004</v>
      </c>
      <c r="S32" s="3"/>
      <c r="T32" s="3"/>
      <c r="U32" s="3">
        <v>0.7</v>
      </c>
      <c r="V32" s="3">
        <f>A32*C32*U32*1.05/0.1</f>
        <v>269.45099999999996</v>
      </c>
      <c r="W32" s="3">
        <v>2.5</v>
      </c>
      <c r="X32" s="23">
        <f t="shared" si="37"/>
        <v>641.55000000000007</v>
      </c>
      <c r="Y32" s="44">
        <f t="shared" ref="Y32:Y34" si="48">0.24*0.21*A32*D32</f>
        <v>1.9655999999999998</v>
      </c>
      <c r="Z32" s="45">
        <v>28</v>
      </c>
      <c r="AA32" s="44">
        <f t="shared" si="47"/>
        <v>4.0247999999999999</v>
      </c>
      <c r="AB32" s="45">
        <v>0</v>
      </c>
      <c r="AC32" s="44">
        <f t="shared" ref="AC32:AC34" si="49">0.43*0.43*A32*C32</f>
        <v>6.778433999999999</v>
      </c>
      <c r="AD32" s="48">
        <v>11</v>
      </c>
      <c r="AE32" s="44">
        <f>0.88*0.43*A32*D32</f>
        <v>14.7576</v>
      </c>
      <c r="AF32" s="10">
        <v>7</v>
      </c>
      <c r="AG32" s="41">
        <f t="shared" ref="AG32:AG34" si="50">(Y32*Z32)+(AA32*AB32)+(AC32*AD32)+(AE32*AF32)</f>
        <v>232.90277399999999</v>
      </c>
    </row>
    <row r="33" spans="1:33" x14ac:dyDescent="0.25">
      <c r="A33" s="21">
        <v>1</v>
      </c>
      <c r="B33" s="3" t="s">
        <v>5</v>
      </c>
      <c r="C33" s="3">
        <v>3.16</v>
      </c>
      <c r="D33" s="3">
        <f t="shared" si="38"/>
        <v>3.3400000000000003</v>
      </c>
      <c r="E33" s="3">
        <v>0.55000000000000004</v>
      </c>
      <c r="F33" s="4">
        <f t="shared" si="35"/>
        <v>775.5825000000001</v>
      </c>
      <c r="G33" s="4">
        <f t="shared" si="39"/>
        <v>15.207500000000001</v>
      </c>
      <c r="H33" s="4"/>
      <c r="I33" s="3">
        <v>4.4800000000000004</v>
      </c>
      <c r="J33" s="4">
        <f t="shared" si="40"/>
        <v>2064.5333333333338</v>
      </c>
      <c r="K33" s="4">
        <f t="shared" si="41"/>
        <v>165.16266666666669</v>
      </c>
      <c r="L33" s="3">
        <v>21.15</v>
      </c>
      <c r="M33" s="5">
        <f t="shared" si="42"/>
        <v>23.376315789473683</v>
      </c>
      <c r="N33" s="4">
        <f t="shared" si="43"/>
        <v>4177.1250000000009</v>
      </c>
      <c r="O33" s="4">
        <f t="shared" si="44"/>
        <v>334.17000000000007</v>
      </c>
      <c r="P33" s="4">
        <f t="shared" si="45"/>
        <v>73.869157894736844</v>
      </c>
      <c r="Q33" s="3">
        <v>14.8</v>
      </c>
      <c r="R33" s="6">
        <f t="shared" si="36"/>
        <v>49.106400000000008</v>
      </c>
      <c r="S33" s="3"/>
      <c r="T33" s="3"/>
      <c r="U33" s="3">
        <v>0.7</v>
      </c>
      <c r="V33" s="3">
        <f>A33*C33*U33*1.05/0.1</f>
        <v>23.225999999999999</v>
      </c>
      <c r="W33" s="3">
        <v>6.3</v>
      </c>
      <c r="X33" s="23">
        <f t="shared" si="37"/>
        <v>139.35600000000002</v>
      </c>
      <c r="Y33" s="44">
        <f t="shared" si="48"/>
        <v>0.16833599999999999</v>
      </c>
      <c r="Z33" s="45">
        <v>28</v>
      </c>
      <c r="AA33" s="44">
        <f t="shared" si="47"/>
        <v>0.34468800000000005</v>
      </c>
      <c r="AB33" s="45">
        <v>0</v>
      </c>
      <c r="AC33" s="44">
        <f t="shared" si="49"/>
        <v>0.58428399999999991</v>
      </c>
      <c r="AD33" s="48">
        <v>11</v>
      </c>
      <c r="AE33" s="44">
        <f t="shared" ref="AE33:AE34" si="51">0.88*0.43*A33*D33</f>
        <v>1.2638560000000001</v>
      </c>
      <c r="AF33" s="10">
        <v>7</v>
      </c>
      <c r="AG33" s="41">
        <f t="shared" si="50"/>
        <v>19.987524000000001</v>
      </c>
    </row>
    <row r="34" spans="1:33" x14ac:dyDescent="0.25">
      <c r="A34" s="21">
        <v>1</v>
      </c>
      <c r="B34" s="3" t="s">
        <v>6</v>
      </c>
      <c r="C34" s="3">
        <v>0.9</v>
      </c>
      <c r="D34" s="3">
        <f>A1+0.18</f>
        <v>1.38</v>
      </c>
      <c r="E34" s="3">
        <v>9.24</v>
      </c>
      <c r="F34" s="4">
        <f>A34*C34*E34*51*1.05/0.12</f>
        <v>3711.0150000000008</v>
      </c>
      <c r="G34" s="4">
        <f t="shared" si="39"/>
        <v>72.765000000000015</v>
      </c>
      <c r="H34" s="4">
        <f>1.6*3.74</f>
        <v>5.9840000000000009</v>
      </c>
      <c r="I34" s="3">
        <v>0</v>
      </c>
      <c r="J34" s="4">
        <f t="shared" si="40"/>
        <v>0</v>
      </c>
      <c r="K34" s="4">
        <f t="shared" si="41"/>
        <v>0</v>
      </c>
      <c r="L34" s="3">
        <v>0</v>
      </c>
      <c r="M34" s="3">
        <f t="shared" si="42"/>
        <v>0</v>
      </c>
      <c r="N34" s="4">
        <f t="shared" si="43"/>
        <v>0</v>
      </c>
      <c r="O34" s="4">
        <f t="shared" si="44"/>
        <v>0</v>
      </c>
      <c r="P34" s="4">
        <f t="shared" si="45"/>
        <v>0</v>
      </c>
      <c r="Q34" s="3"/>
      <c r="R34" s="3">
        <f t="shared" si="36"/>
        <v>0</v>
      </c>
      <c r="S34" s="3"/>
      <c r="T34" s="3"/>
      <c r="U34" s="3">
        <v>9.6</v>
      </c>
      <c r="V34" s="3">
        <f>A34*C34*U34*1.05/0.1</f>
        <v>90.72</v>
      </c>
      <c r="W34" s="3">
        <v>3.8</v>
      </c>
      <c r="X34" s="23">
        <f t="shared" si="37"/>
        <v>23.94</v>
      </c>
      <c r="Y34" s="44">
        <f t="shared" si="48"/>
        <v>6.9551999999999989E-2</v>
      </c>
      <c r="Z34" s="45">
        <v>28</v>
      </c>
      <c r="AA34" s="44">
        <f t="shared" si="47"/>
        <v>0.14241599999999999</v>
      </c>
      <c r="AB34" s="45">
        <v>0</v>
      </c>
      <c r="AC34" s="44">
        <f t="shared" si="49"/>
        <v>0.16640999999999997</v>
      </c>
      <c r="AD34" s="48">
        <v>11</v>
      </c>
      <c r="AE34" s="44">
        <f t="shared" si="51"/>
        <v>0.52219199999999999</v>
      </c>
      <c r="AF34" s="10">
        <v>7</v>
      </c>
      <c r="AG34" s="41">
        <f t="shared" si="50"/>
        <v>7.4333099999999988</v>
      </c>
    </row>
    <row r="35" spans="1:33" ht="15.75" thickBot="1" x14ac:dyDescent="0.3">
      <c r="A35" s="21">
        <v>1</v>
      </c>
      <c r="B35" s="3" t="s">
        <v>35</v>
      </c>
      <c r="C35" s="3">
        <v>1.2</v>
      </c>
      <c r="D35" s="3"/>
      <c r="E35" s="3">
        <v>20</v>
      </c>
      <c r="F35" s="4">
        <f>A35*C35*E35*51*1.05/0.12</f>
        <v>10710</v>
      </c>
      <c r="G35" s="4">
        <f t="shared" si="39"/>
        <v>210</v>
      </c>
      <c r="H35" s="4"/>
      <c r="I35" s="3"/>
      <c r="J35" s="4"/>
      <c r="K35" s="4"/>
      <c r="L35" s="3"/>
      <c r="M35" s="3"/>
      <c r="N35" s="4"/>
      <c r="O35" s="4"/>
      <c r="P35" s="4">
        <f t="shared" si="45"/>
        <v>0</v>
      </c>
      <c r="Q35" s="3"/>
      <c r="R35" s="3">
        <f t="shared" si="36"/>
        <v>0</v>
      </c>
      <c r="S35" s="3"/>
      <c r="T35" s="3"/>
      <c r="U35" s="3"/>
      <c r="V35" s="3"/>
      <c r="W35" s="3"/>
      <c r="X35" s="5"/>
      <c r="Y35" s="44"/>
      <c r="Z35" s="46"/>
      <c r="AA35" s="44"/>
      <c r="AB35" s="46"/>
      <c r="AC35" s="44"/>
      <c r="AD35" s="49"/>
      <c r="AE35" s="44"/>
      <c r="AF35" s="16"/>
      <c r="AG35" s="41"/>
    </row>
    <row r="36" spans="1:33" ht="15.75" thickBot="1" x14ac:dyDescent="0.3">
      <c r="A36" s="32" t="s">
        <v>13</v>
      </c>
      <c r="B36" s="29"/>
      <c r="C36" s="29"/>
      <c r="D36" s="29"/>
      <c r="E36" s="29"/>
      <c r="F36" s="33">
        <f>SUM(F29:F35)</f>
        <v>48797.482124999988</v>
      </c>
      <c r="G36" s="33"/>
      <c r="H36" s="33"/>
      <c r="I36" s="29"/>
      <c r="J36" s="33">
        <f>SUM(J29:J34)</f>
        <v>74336.937500000015</v>
      </c>
      <c r="K36" s="33"/>
      <c r="L36" s="29"/>
      <c r="M36" s="29"/>
      <c r="N36" s="33">
        <f>SUM(N29:N34)</f>
        <v>61099.224999999999</v>
      </c>
      <c r="O36" s="33"/>
      <c r="P36" s="33"/>
      <c r="Q36" s="29"/>
      <c r="R36" s="33">
        <f>SUM(R29:R35)</f>
        <v>756.21840000000009</v>
      </c>
      <c r="S36" s="34">
        <v>282846</v>
      </c>
      <c r="T36" s="34">
        <v>134250</v>
      </c>
      <c r="U36" s="29"/>
      <c r="V36" s="33">
        <f>SUM(V29:V34)</f>
        <v>472.827</v>
      </c>
      <c r="W36" s="30"/>
      <c r="X36" s="35">
        <f>SUM(X29:X34)</f>
        <v>1108.2960000000003</v>
      </c>
    </row>
  </sheetData>
  <mergeCells count="21">
    <mergeCell ref="W27:X27"/>
    <mergeCell ref="B26:X26"/>
    <mergeCell ref="B14:X14"/>
    <mergeCell ref="U27:V27"/>
    <mergeCell ref="I27:K27"/>
    <mergeCell ref="Q27:R27"/>
    <mergeCell ref="E27:G27"/>
    <mergeCell ref="E15:G15"/>
    <mergeCell ref="L15:P15"/>
    <mergeCell ref="L27:P27"/>
    <mergeCell ref="B1:X1"/>
    <mergeCell ref="I2:K2"/>
    <mergeCell ref="I15:K15"/>
    <mergeCell ref="U2:V2"/>
    <mergeCell ref="U15:V15"/>
    <mergeCell ref="Q15:R15"/>
    <mergeCell ref="Q2:R2"/>
    <mergeCell ref="W2:X2"/>
    <mergeCell ref="W15:X15"/>
    <mergeCell ref="E2:G2"/>
    <mergeCell ref="L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39360-FB42-4746-A331-A43A1DA932B0}">
  <dimension ref="A1:M32"/>
  <sheetViews>
    <sheetView workbookViewId="0">
      <pane ySplit="4" topLeftCell="A5" activePane="bottomLeft" state="frozen"/>
      <selection pane="bottomLeft" activeCell="G18" sqref="G18"/>
    </sheetView>
  </sheetViews>
  <sheetFormatPr defaultRowHeight="15" x14ac:dyDescent="0.25"/>
  <cols>
    <col min="2" max="2" width="117.7109375" customWidth="1"/>
    <col min="3" max="4" width="9.140625" customWidth="1"/>
    <col min="11" max="11" width="7.5703125" bestFit="1" customWidth="1"/>
    <col min="12" max="12" width="14" customWidth="1"/>
    <col min="13" max="13" width="15.140625" customWidth="1"/>
  </cols>
  <sheetData>
    <row r="1" spans="1:13" ht="45" customHeight="1" thickBot="1" x14ac:dyDescent="0.4">
      <c r="A1" s="75" t="s">
        <v>65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ht="15.75" thickBot="1" x14ac:dyDescent="0.3">
      <c r="A2" s="17">
        <v>1</v>
      </c>
      <c r="B2" s="18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</row>
    <row r="3" spans="1:13" ht="15.75" thickBot="1" x14ac:dyDescent="0.3">
      <c r="A3" s="80" t="s">
        <v>25</v>
      </c>
      <c r="B3" s="80" t="s">
        <v>26</v>
      </c>
      <c r="C3" s="80" t="s">
        <v>27</v>
      </c>
      <c r="D3" s="82" t="s">
        <v>28</v>
      </c>
      <c r="E3" s="83"/>
      <c r="F3" s="83"/>
      <c r="G3" s="83"/>
      <c r="H3" s="83"/>
      <c r="I3" s="83"/>
      <c r="J3" s="83"/>
      <c r="K3" s="84"/>
      <c r="L3" s="78" t="s">
        <v>37</v>
      </c>
      <c r="M3" s="80" t="s">
        <v>36</v>
      </c>
    </row>
    <row r="4" spans="1:13" ht="15.75" thickBot="1" x14ac:dyDescent="0.3">
      <c r="A4" s="81"/>
      <c r="B4" s="81"/>
      <c r="C4" s="81"/>
      <c r="D4" s="36" t="s">
        <v>30</v>
      </c>
      <c r="E4" s="86" t="s">
        <v>72</v>
      </c>
      <c r="F4" s="87"/>
      <c r="G4" s="37" t="s">
        <v>32</v>
      </c>
      <c r="H4" s="86" t="s">
        <v>70</v>
      </c>
      <c r="I4" s="87"/>
      <c r="J4" s="37" t="s">
        <v>46</v>
      </c>
      <c r="K4" s="38" t="s">
        <v>36</v>
      </c>
      <c r="L4" s="79"/>
      <c r="M4" s="81"/>
    </row>
    <row r="5" spans="1:13" ht="45" customHeight="1" x14ac:dyDescent="0.25">
      <c r="A5" s="53">
        <v>1</v>
      </c>
      <c r="B5" s="12" t="s">
        <v>66</v>
      </c>
      <c r="C5" s="53" t="s">
        <v>44</v>
      </c>
      <c r="D5" s="53">
        <v>37</v>
      </c>
      <c r="E5" s="88">
        <v>341</v>
      </c>
      <c r="F5" s="89"/>
      <c r="G5" s="53">
        <v>885</v>
      </c>
      <c r="H5" s="88">
        <v>542</v>
      </c>
      <c r="I5" s="89"/>
      <c r="J5" s="53">
        <v>90</v>
      </c>
      <c r="K5" s="56">
        <f>SUM(D5:J5)</f>
        <v>1895</v>
      </c>
      <c r="L5" s="53"/>
      <c r="M5" s="53">
        <f>K5*L5</f>
        <v>0</v>
      </c>
    </row>
    <row r="6" spans="1:13" ht="45" x14ac:dyDescent="0.25">
      <c r="A6" s="19">
        <v>2</v>
      </c>
      <c r="B6" s="54" t="s">
        <v>62</v>
      </c>
      <c r="C6" s="19" t="s">
        <v>44</v>
      </c>
      <c r="D6" s="19">
        <v>46</v>
      </c>
      <c r="E6" s="90">
        <v>438</v>
      </c>
      <c r="F6" s="91"/>
      <c r="G6" s="19">
        <v>1071</v>
      </c>
      <c r="H6" s="90">
        <v>696</v>
      </c>
      <c r="I6" s="91"/>
      <c r="J6" s="19">
        <v>195</v>
      </c>
      <c r="K6" s="56">
        <f>SUM(D6:J6)</f>
        <v>2446</v>
      </c>
      <c r="L6" s="19"/>
      <c r="M6" s="19">
        <f t="shared" ref="M6:M18" si="0">K6*L6</f>
        <v>0</v>
      </c>
    </row>
    <row r="7" spans="1:13" ht="45.75" thickBot="1" x14ac:dyDescent="0.3">
      <c r="A7" s="19">
        <v>3</v>
      </c>
      <c r="B7" s="54" t="s">
        <v>63</v>
      </c>
      <c r="C7" s="19" t="s">
        <v>44</v>
      </c>
      <c r="D7" s="19">
        <v>6</v>
      </c>
      <c r="E7" s="92">
        <v>120</v>
      </c>
      <c r="F7" s="93"/>
      <c r="G7" s="19">
        <v>282</v>
      </c>
      <c r="H7" s="92">
        <v>182</v>
      </c>
      <c r="I7" s="93"/>
      <c r="J7" s="19">
        <v>0</v>
      </c>
      <c r="K7" s="56">
        <f>SUM(D7:J7)</f>
        <v>590</v>
      </c>
      <c r="L7" s="19"/>
      <c r="M7" s="19">
        <f t="shared" si="0"/>
        <v>0</v>
      </c>
    </row>
    <row r="8" spans="1:13" ht="15.75" thickBot="1" x14ac:dyDescent="0.3">
      <c r="A8" s="80"/>
      <c r="B8" s="80" t="s">
        <v>26</v>
      </c>
      <c r="C8" s="80" t="s">
        <v>27</v>
      </c>
      <c r="D8" s="82" t="s">
        <v>28</v>
      </c>
      <c r="E8" s="83"/>
      <c r="F8" s="83"/>
      <c r="G8" s="83"/>
      <c r="H8" s="83"/>
      <c r="I8" s="83"/>
      <c r="J8" s="83"/>
      <c r="K8" s="84"/>
      <c r="L8" s="94"/>
      <c r="M8" s="95"/>
    </row>
    <row r="9" spans="1:13" x14ac:dyDescent="0.25">
      <c r="A9" s="85"/>
      <c r="B9" s="85"/>
      <c r="C9" s="85"/>
      <c r="D9" s="59" t="s">
        <v>30</v>
      </c>
      <c r="E9" s="57" t="s">
        <v>29</v>
      </c>
      <c r="F9" s="57" t="s">
        <v>31</v>
      </c>
      <c r="G9" s="57" t="s">
        <v>32</v>
      </c>
      <c r="H9" s="57" t="s">
        <v>33</v>
      </c>
      <c r="I9" s="57" t="s">
        <v>34</v>
      </c>
      <c r="J9" s="57" t="s">
        <v>46</v>
      </c>
      <c r="K9" s="60" t="s">
        <v>36</v>
      </c>
      <c r="L9" s="96"/>
      <c r="M9" s="97"/>
    </row>
    <row r="10" spans="1:13" x14ac:dyDescent="0.25">
      <c r="A10" s="63">
        <v>1</v>
      </c>
      <c r="B10" s="3" t="s">
        <v>38</v>
      </c>
      <c r="C10" s="19" t="s">
        <v>44</v>
      </c>
      <c r="D10" s="65">
        <f>Расчет!V4</f>
        <v>169.72499999999997</v>
      </c>
      <c r="E10" s="65">
        <f>Расчет!V5</f>
        <v>23.225999999999999</v>
      </c>
      <c r="F10" s="65">
        <f>Расчет!V6</f>
        <v>47.375999999999991</v>
      </c>
      <c r="G10" s="65">
        <f>Расчет!V7</f>
        <v>213.19200000000001</v>
      </c>
      <c r="H10" s="65">
        <f>Расчет!V8</f>
        <v>94.751999999999981</v>
      </c>
      <c r="I10" s="65">
        <f>Расчет!V9</f>
        <v>26.544000000000008</v>
      </c>
      <c r="J10" s="65">
        <f>Расчет!V10</f>
        <v>70.875</v>
      </c>
      <c r="K10" s="1">
        <f>SUM(D10:J10)</f>
        <v>645.68999999999994</v>
      </c>
      <c r="L10" s="19"/>
      <c r="M10" s="19"/>
    </row>
    <row r="11" spans="1:13" x14ac:dyDescent="0.25">
      <c r="A11" s="63">
        <v>2</v>
      </c>
      <c r="B11" s="3" t="s">
        <v>39</v>
      </c>
      <c r="C11" s="19" t="s">
        <v>44</v>
      </c>
      <c r="D11" s="39">
        <f>Расчет!X4</f>
        <v>164.39500000000001</v>
      </c>
      <c r="E11" s="39">
        <f>Расчет!X5</f>
        <v>68.572000000000017</v>
      </c>
      <c r="F11" s="39">
        <f>Расчет!X6</f>
        <v>122.38800000000001</v>
      </c>
      <c r="G11" s="39">
        <f>Расчет!X7</f>
        <v>550.74600000000009</v>
      </c>
      <c r="H11" s="39">
        <f>Расчет!X8</f>
        <v>252.672</v>
      </c>
      <c r="I11" s="39">
        <f>Расчет!X9</f>
        <v>68.572000000000017</v>
      </c>
      <c r="J11" s="39">
        <f>Расчет!X10</f>
        <v>23.94</v>
      </c>
      <c r="K11" s="55">
        <f>Расчет!X12</f>
        <v>1251.2850000000003</v>
      </c>
      <c r="L11" s="19"/>
      <c r="M11" s="19">
        <f t="shared" si="0"/>
        <v>0</v>
      </c>
    </row>
    <row r="12" spans="1:13" ht="30" x14ac:dyDescent="0.25">
      <c r="A12" s="63">
        <v>3</v>
      </c>
      <c r="B12" s="3" t="s">
        <v>40</v>
      </c>
      <c r="C12" s="19" t="s">
        <v>45</v>
      </c>
      <c r="D12" s="39">
        <f>Расчет!R4</f>
        <v>0</v>
      </c>
      <c r="E12" s="39">
        <f>Расчет!R5</f>
        <v>65.36460000000001</v>
      </c>
      <c r="F12" s="39">
        <f>Расчет!R6</f>
        <v>106.596</v>
      </c>
      <c r="G12" s="39">
        <f>Расчет!R7</f>
        <v>485.01179999999994</v>
      </c>
      <c r="H12" s="39">
        <f>Расчет!R8</f>
        <v>215.5608</v>
      </c>
      <c r="I12" s="39">
        <f>Расчет!R9</f>
        <v>59.724000000000004</v>
      </c>
      <c r="J12" s="39">
        <f>Расчет!R10</f>
        <v>0</v>
      </c>
      <c r="K12" s="55">
        <f>Расчет!R12</f>
        <v>932.2571999999999</v>
      </c>
      <c r="L12" s="19"/>
      <c r="M12" s="19">
        <f t="shared" si="0"/>
        <v>0</v>
      </c>
    </row>
    <row r="13" spans="1:13" ht="30" x14ac:dyDescent="0.25">
      <c r="A13" s="63">
        <v>4</v>
      </c>
      <c r="B13" s="3" t="s">
        <v>41</v>
      </c>
      <c r="C13" s="19" t="s">
        <v>45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f>Расчет!H10</f>
        <v>5.9840000000000009</v>
      </c>
      <c r="K13" s="55">
        <f>SUM(D13:J13)</f>
        <v>5.9840000000000009</v>
      </c>
      <c r="L13" s="19"/>
      <c r="M13" s="19">
        <f t="shared" si="0"/>
        <v>0</v>
      </c>
    </row>
    <row r="14" spans="1:13" ht="30" x14ac:dyDescent="0.25">
      <c r="A14" s="63">
        <v>5</v>
      </c>
      <c r="B14" s="3" t="s">
        <v>42</v>
      </c>
      <c r="C14" s="19" t="s">
        <v>44</v>
      </c>
      <c r="D14" s="39">
        <f>Расчет!G4</f>
        <v>487.046875</v>
      </c>
      <c r="E14" s="39">
        <f>Расчет!G5</f>
        <v>21.014000000000003</v>
      </c>
      <c r="F14" s="39">
        <f>Расчет!G6</f>
        <v>28.622999999999998</v>
      </c>
      <c r="G14" s="39">
        <f>Расчет!G7</f>
        <v>128.80349999999999</v>
      </c>
      <c r="H14" s="39">
        <f>Расчет!G8</f>
        <v>57.245999999999995</v>
      </c>
      <c r="I14" s="39">
        <f>Расчет!G9</f>
        <v>16.037000000000003</v>
      </c>
      <c r="J14" s="39">
        <f>Расчет!G10+Расчет!G11</f>
        <v>315.57749999999999</v>
      </c>
      <c r="K14" s="55">
        <f>SUM(D14:J14)</f>
        <v>1054.3478749999999</v>
      </c>
      <c r="L14" s="19"/>
      <c r="M14" s="19">
        <f t="shared" si="0"/>
        <v>0</v>
      </c>
    </row>
    <row r="15" spans="1:13" ht="30" x14ac:dyDescent="0.25">
      <c r="A15" s="63">
        <v>6</v>
      </c>
      <c r="B15" s="3" t="s">
        <v>59</v>
      </c>
      <c r="C15" s="19" t="s">
        <v>44</v>
      </c>
      <c r="D15" s="39">
        <f>Расчет!K4</f>
        <v>0</v>
      </c>
      <c r="E15" s="39">
        <f>Расчет!K5</f>
        <v>419.17400000000004</v>
      </c>
      <c r="F15" s="39">
        <f>Расчет!K6</f>
        <v>754.72600000000011</v>
      </c>
      <c r="G15" s="39">
        <f>Расчет!K7</f>
        <v>3322.2420000000006</v>
      </c>
      <c r="H15" s="39">
        <f>Расчет!K8</f>
        <v>1487.08</v>
      </c>
      <c r="I15" s="39">
        <f>Расчет!K9</f>
        <v>240.73933333333335</v>
      </c>
      <c r="J15" s="39">
        <f>Расчет!K10</f>
        <v>0</v>
      </c>
      <c r="K15" s="55">
        <f>SUM(D15:J15)</f>
        <v>6223.9613333333336</v>
      </c>
      <c r="L15" s="19"/>
      <c r="M15" s="19">
        <f t="shared" si="0"/>
        <v>0</v>
      </c>
    </row>
    <row r="16" spans="1:13" ht="30" x14ac:dyDescent="0.25">
      <c r="A16" s="63">
        <v>7</v>
      </c>
      <c r="B16" s="3" t="s">
        <v>58</v>
      </c>
      <c r="C16" s="19" t="s">
        <v>45</v>
      </c>
      <c r="D16" s="39">
        <f>Расчет!P4</f>
        <v>22.720894736842101</v>
      </c>
      <c r="E16" s="39">
        <f>Расчет!P5</f>
        <v>53.611894736842096</v>
      </c>
      <c r="F16" s="39">
        <f>Расчет!P6</f>
        <v>104.28953684210525</v>
      </c>
      <c r="G16" s="39">
        <f>Расчет!P7</f>
        <v>470.70549473684207</v>
      </c>
      <c r="H16" s="39">
        <f>Расчет!P8</f>
        <v>208.20505263157892</v>
      </c>
      <c r="I16" s="39">
        <f>Расчет!P9</f>
        <v>65.836105263157904</v>
      </c>
      <c r="J16" s="39">
        <f>Расчет!P10</f>
        <v>0</v>
      </c>
      <c r="K16" s="55">
        <f>SUM(D16:J16)</f>
        <v>925.36897894736842</v>
      </c>
      <c r="L16" s="19"/>
      <c r="M16" s="19">
        <f t="shared" si="0"/>
        <v>0</v>
      </c>
    </row>
    <row r="17" spans="1:13" ht="30" x14ac:dyDescent="0.25">
      <c r="A17" s="63">
        <v>8</v>
      </c>
      <c r="B17" s="3" t="s">
        <v>43</v>
      </c>
      <c r="C17" s="19" t="s">
        <v>45</v>
      </c>
      <c r="D17" s="39">
        <v>0</v>
      </c>
      <c r="E17" s="39">
        <f>Расчет!AG5</f>
        <v>3.3667199999999999</v>
      </c>
      <c r="F17" s="39">
        <f>Расчет!AG6</f>
        <v>33.218615999999997</v>
      </c>
      <c r="G17" s="39">
        <f>Расчет!AG7</f>
        <v>160.1325710712</v>
      </c>
      <c r="H17" s="39">
        <f>Расчет!AG8</f>
        <v>74.472431999999998</v>
      </c>
      <c r="I17" s="39">
        <f>Расчет!AG9</f>
        <v>20.582456000000001</v>
      </c>
      <c r="J17" s="39">
        <f>Расчет!AG10</f>
        <v>7.6787159999999997</v>
      </c>
      <c r="K17" s="55">
        <f>SUM(D17:J17)</f>
        <v>299.4515110712</v>
      </c>
      <c r="L17" s="19"/>
      <c r="M17" s="19">
        <f t="shared" si="0"/>
        <v>0</v>
      </c>
    </row>
    <row r="18" spans="1:13" x14ac:dyDescent="0.25">
      <c r="A18" s="63">
        <v>9</v>
      </c>
      <c r="B18" s="3" t="s">
        <v>77</v>
      </c>
      <c r="C18" s="19" t="s">
        <v>76</v>
      </c>
      <c r="D18" s="39">
        <v>0</v>
      </c>
      <c r="E18" s="39">
        <v>127</v>
      </c>
      <c r="F18" s="39">
        <f>123*2</f>
        <v>246</v>
      </c>
      <c r="G18" s="39">
        <f>9*123</f>
        <v>1107</v>
      </c>
      <c r="H18" s="39">
        <f>123*4</f>
        <v>492</v>
      </c>
      <c r="I18" s="39">
        <v>127</v>
      </c>
      <c r="J18" s="39">
        <v>0</v>
      </c>
      <c r="K18" s="55">
        <f>SUM(D18:J18)</f>
        <v>2099</v>
      </c>
      <c r="L18" s="19"/>
      <c r="M18" s="19">
        <f t="shared" si="0"/>
        <v>0</v>
      </c>
    </row>
    <row r="19" spans="1:13" x14ac:dyDescent="0.25">
      <c r="A19" s="19"/>
      <c r="B19" s="98" t="s">
        <v>64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1">
        <f>SUM(M5:M7, M11:M18)</f>
        <v>0</v>
      </c>
    </row>
    <row r="26" spans="1:13" x14ac:dyDescent="0.25">
      <c r="D26" s="41"/>
    </row>
    <row r="27" spans="1:13" x14ac:dyDescent="0.25">
      <c r="D27" s="41"/>
    </row>
    <row r="28" spans="1:13" x14ac:dyDescent="0.25">
      <c r="D28" s="41"/>
    </row>
    <row r="29" spans="1:13" x14ac:dyDescent="0.25">
      <c r="D29" s="41"/>
    </row>
    <row r="30" spans="1:13" x14ac:dyDescent="0.25">
      <c r="D30" s="41"/>
    </row>
    <row r="31" spans="1:13" x14ac:dyDescent="0.25">
      <c r="D31" s="41"/>
    </row>
    <row r="32" spans="1:13" x14ac:dyDescent="0.25">
      <c r="D32" s="41"/>
    </row>
  </sheetData>
  <mergeCells count="21">
    <mergeCell ref="L8:M9"/>
    <mergeCell ref="B19:L19"/>
    <mergeCell ref="A3:A4"/>
    <mergeCell ref="B3:B4"/>
    <mergeCell ref="C3:C4"/>
    <mergeCell ref="A1:M1"/>
    <mergeCell ref="L3:L4"/>
    <mergeCell ref="M3:M4"/>
    <mergeCell ref="D3:K3"/>
    <mergeCell ref="A8:A9"/>
    <mergeCell ref="B8:B9"/>
    <mergeCell ref="C8:C9"/>
    <mergeCell ref="D8:K8"/>
    <mergeCell ref="H4:I4"/>
    <mergeCell ref="H5:I5"/>
    <mergeCell ref="H6:I6"/>
    <mergeCell ref="H7:I7"/>
    <mergeCell ref="E4:F4"/>
    <mergeCell ref="E5:F5"/>
    <mergeCell ref="E6:F6"/>
    <mergeCell ref="E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EA1C-7CA9-46A2-9C63-21345DE892A8}">
  <dimension ref="A1:L20"/>
  <sheetViews>
    <sheetView workbookViewId="0">
      <pane ySplit="4" topLeftCell="A5" activePane="bottomLeft" state="frozen"/>
      <selection pane="bottomLeft" activeCell="H19" sqref="H19"/>
    </sheetView>
  </sheetViews>
  <sheetFormatPr defaultRowHeight="15" x14ac:dyDescent="0.25"/>
  <cols>
    <col min="2" max="2" width="123.28515625" customWidth="1"/>
    <col min="8" max="8" width="11.140625" customWidth="1"/>
    <col min="10" max="10" width="7.5703125" bestFit="1" customWidth="1"/>
    <col min="11" max="11" width="14" customWidth="1"/>
    <col min="12" max="12" width="15.140625" customWidth="1"/>
  </cols>
  <sheetData>
    <row r="1" spans="1:12" ht="45" customHeight="1" thickBot="1" x14ac:dyDescent="0.4">
      <c r="A1" s="75" t="s">
        <v>67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15.75" thickBot="1" x14ac:dyDescent="0.3">
      <c r="A2" s="17">
        <v>1</v>
      </c>
      <c r="B2" s="18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9</v>
      </c>
      <c r="I2" s="18">
        <v>10</v>
      </c>
      <c r="J2" s="18">
        <v>11</v>
      </c>
      <c r="K2" s="18">
        <v>12</v>
      </c>
      <c r="L2" s="18">
        <v>13</v>
      </c>
    </row>
    <row r="3" spans="1:12" ht="15.75" thickBot="1" x14ac:dyDescent="0.3">
      <c r="A3" s="80" t="s">
        <v>25</v>
      </c>
      <c r="B3" s="80" t="s">
        <v>26</v>
      </c>
      <c r="C3" s="80" t="s">
        <v>27</v>
      </c>
      <c r="D3" s="82" t="s">
        <v>28</v>
      </c>
      <c r="E3" s="83"/>
      <c r="F3" s="83"/>
      <c r="G3" s="83"/>
      <c r="H3" s="83"/>
      <c r="I3" s="83"/>
      <c r="J3" s="84"/>
      <c r="K3" s="78" t="s">
        <v>37</v>
      </c>
      <c r="L3" s="80" t="s">
        <v>36</v>
      </c>
    </row>
    <row r="4" spans="1:12" ht="15.75" thickBot="1" x14ac:dyDescent="0.3">
      <c r="A4" s="81"/>
      <c r="B4" s="81"/>
      <c r="C4" s="81"/>
      <c r="D4" s="36" t="s">
        <v>30</v>
      </c>
      <c r="E4" s="86" t="s">
        <v>72</v>
      </c>
      <c r="F4" s="87"/>
      <c r="G4" s="37" t="s">
        <v>32</v>
      </c>
      <c r="H4" s="37" t="s">
        <v>71</v>
      </c>
      <c r="I4" s="37" t="s">
        <v>46</v>
      </c>
      <c r="J4" s="38" t="s">
        <v>36</v>
      </c>
      <c r="K4" s="79"/>
      <c r="L4" s="81"/>
    </row>
    <row r="5" spans="1:12" ht="45" customHeight="1" x14ac:dyDescent="0.25">
      <c r="A5" s="53">
        <v>1</v>
      </c>
      <c r="B5" s="12" t="s">
        <v>61</v>
      </c>
      <c r="C5" s="53" t="s">
        <v>44</v>
      </c>
      <c r="D5" s="53">
        <v>69</v>
      </c>
      <c r="E5" s="88">
        <v>249</v>
      </c>
      <c r="F5" s="89"/>
      <c r="G5" s="53">
        <v>1149</v>
      </c>
      <c r="H5" s="53">
        <v>713</v>
      </c>
      <c r="I5" s="53">
        <v>90</v>
      </c>
      <c r="J5" s="56">
        <f>SUM(D5:I5)</f>
        <v>2270</v>
      </c>
      <c r="K5" s="53"/>
      <c r="L5" s="53">
        <f>J5*K5</f>
        <v>0</v>
      </c>
    </row>
    <row r="6" spans="1:12" ht="43.5" customHeight="1" x14ac:dyDescent="0.25">
      <c r="A6" s="19">
        <v>2</v>
      </c>
      <c r="B6" s="54" t="s">
        <v>68</v>
      </c>
      <c r="C6" s="19" t="s">
        <v>44</v>
      </c>
      <c r="D6" s="19">
        <v>43</v>
      </c>
      <c r="E6" s="90">
        <v>316</v>
      </c>
      <c r="F6" s="91"/>
      <c r="G6" s="19">
        <v>876</v>
      </c>
      <c r="H6" s="19">
        <v>515</v>
      </c>
      <c r="I6" s="19">
        <v>192</v>
      </c>
      <c r="J6" s="56">
        <f>SUM(D6:I6)</f>
        <v>1942</v>
      </c>
      <c r="K6" s="19"/>
      <c r="L6" s="19">
        <f t="shared" ref="L6:L19" si="0">J6*K6</f>
        <v>0</v>
      </c>
    </row>
    <row r="7" spans="1:12" ht="45.75" thickBot="1" x14ac:dyDescent="0.3">
      <c r="A7" s="19">
        <v>3</v>
      </c>
      <c r="B7" s="54" t="s">
        <v>63</v>
      </c>
      <c r="C7" s="19" t="s">
        <v>44</v>
      </c>
      <c r="D7" s="19">
        <v>12</v>
      </c>
      <c r="E7" s="92">
        <v>156</v>
      </c>
      <c r="F7" s="93"/>
      <c r="G7" s="19">
        <v>432</v>
      </c>
      <c r="H7" s="19">
        <v>268</v>
      </c>
      <c r="I7" s="19">
        <v>0</v>
      </c>
      <c r="J7" s="56">
        <f>SUM(D7:I7)</f>
        <v>868</v>
      </c>
      <c r="K7" s="19"/>
      <c r="L7" s="19">
        <f t="shared" si="0"/>
        <v>0</v>
      </c>
    </row>
    <row r="8" spans="1:12" ht="15.75" thickBot="1" x14ac:dyDescent="0.3">
      <c r="A8" s="80"/>
      <c r="B8" s="80" t="s">
        <v>26</v>
      </c>
      <c r="C8" s="80" t="s">
        <v>27</v>
      </c>
      <c r="D8" s="82" t="s">
        <v>28</v>
      </c>
      <c r="E8" s="83"/>
      <c r="F8" s="83"/>
      <c r="G8" s="83"/>
      <c r="H8" s="83"/>
      <c r="I8" s="83"/>
      <c r="J8" s="84"/>
      <c r="K8" s="78"/>
      <c r="L8" s="80"/>
    </row>
    <row r="9" spans="1:12" x14ac:dyDescent="0.25">
      <c r="A9" s="85"/>
      <c r="B9" s="85"/>
      <c r="C9" s="85"/>
      <c r="D9" s="59" t="s">
        <v>30</v>
      </c>
      <c r="E9" s="57" t="s">
        <v>29</v>
      </c>
      <c r="F9" s="57" t="s">
        <v>31</v>
      </c>
      <c r="G9" s="57" t="s">
        <v>69</v>
      </c>
      <c r="H9" s="57" t="s">
        <v>34</v>
      </c>
      <c r="I9" s="57" t="s">
        <v>46</v>
      </c>
      <c r="J9" s="60" t="s">
        <v>36</v>
      </c>
      <c r="K9" s="99"/>
      <c r="L9" s="85"/>
    </row>
    <row r="10" spans="1:12" x14ac:dyDescent="0.25">
      <c r="A10" s="63">
        <v>1</v>
      </c>
      <c r="B10" s="3" t="s">
        <v>38</v>
      </c>
      <c r="C10" s="19" t="s">
        <v>44</v>
      </c>
      <c r="D10" s="65">
        <f>Расчет!V17</f>
        <v>91.907999999999987</v>
      </c>
      <c r="E10" s="65">
        <f>Расчет!V18</f>
        <v>66.36</v>
      </c>
      <c r="F10" s="65">
        <f>Расчет!V19</f>
        <v>118.43999999999998</v>
      </c>
      <c r="G10" s="65">
        <f>Расчет!V20</f>
        <v>769.8599999999999</v>
      </c>
      <c r="H10" s="65">
        <f>Расчет!V21</f>
        <v>66.36</v>
      </c>
      <c r="I10" s="65">
        <f>Расчет!V22</f>
        <v>66.149999999999991</v>
      </c>
      <c r="J10" s="55">
        <f t="shared" ref="J10:J19" si="1">SUM(D10:I10)</f>
        <v>1179.0779999999997</v>
      </c>
      <c r="K10" s="62"/>
      <c r="L10" s="61"/>
    </row>
    <row r="11" spans="1:12" x14ac:dyDescent="0.25">
      <c r="A11" s="63">
        <v>2</v>
      </c>
      <c r="B11" s="3" t="s">
        <v>39</v>
      </c>
      <c r="C11" s="19" t="s">
        <v>44</v>
      </c>
      <c r="D11" s="39">
        <f>Расчет!X17</f>
        <v>166.53000000000003</v>
      </c>
      <c r="E11" s="39">
        <f>Расчет!X18</f>
        <v>54.415200000000006</v>
      </c>
      <c r="F11" s="39">
        <f>Расчет!X19</f>
        <v>97.120800000000003</v>
      </c>
      <c r="G11" s="39">
        <f>Расчет!X20</f>
        <v>615.88800000000003</v>
      </c>
      <c r="H11" s="39">
        <f>Расчет!X21</f>
        <v>54.636400000000009</v>
      </c>
      <c r="I11" s="39">
        <f>Расчет!X22</f>
        <v>23.94</v>
      </c>
      <c r="J11" s="55">
        <f t="shared" si="1"/>
        <v>1012.5304000000001</v>
      </c>
      <c r="K11" s="19"/>
      <c r="L11" s="19">
        <f t="shared" si="0"/>
        <v>0</v>
      </c>
    </row>
    <row r="12" spans="1:12" ht="30" x14ac:dyDescent="0.25">
      <c r="A12" s="63">
        <v>3</v>
      </c>
      <c r="B12" s="3" t="s">
        <v>40</v>
      </c>
      <c r="C12" s="19" t="s">
        <v>45</v>
      </c>
      <c r="D12" s="39">
        <f>Расчет!R17</f>
        <v>0</v>
      </c>
      <c r="E12" s="39">
        <f>Расчет!R18</f>
        <v>50.765400000000007</v>
      </c>
      <c r="F12" s="39">
        <f>Расчет!R19</f>
        <v>84.921480000000003</v>
      </c>
      <c r="G12" s="39">
        <f>Расчет!R20</f>
        <v>551.21975999999995</v>
      </c>
      <c r="H12" s="39">
        <f>Расчет!R21</f>
        <v>47.513760000000005</v>
      </c>
      <c r="I12" s="39">
        <f>Расчет!R22</f>
        <v>0</v>
      </c>
      <c r="J12" s="55">
        <f t="shared" si="1"/>
        <v>734.42039999999997</v>
      </c>
      <c r="K12" s="19"/>
      <c r="L12" s="19">
        <f t="shared" si="0"/>
        <v>0</v>
      </c>
    </row>
    <row r="13" spans="1:12" ht="30" x14ac:dyDescent="0.25">
      <c r="A13" s="63">
        <v>4</v>
      </c>
      <c r="B13" s="3" t="s">
        <v>41</v>
      </c>
      <c r="C13" s="19" t="s">
        <v>45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f>Расчет!H22</f>
        <v>5.9840000000000009</v>
      </c>
      <c r="J13" s="55">
        <f t="shared" si="1"/>
        <v>5.9840000000000009</v>
      </c>
      <c r="K13" s="19"/>
      <c r="L13" s="19">
        <f t="shared" si="0"/>
        <v>0</v>
      </c>
    </row>
    <row r="14" spans="1:12" ht="30" x14ac:dyDescent="0.25">
      <c r="A14" s="63">
        <v>5</v>
      </c>
      <c r="B14" s="3" t="s">
        <v>42</v>
      </c>
      <c r="C14" s="19" t="s">
        <v>44</v>
      </c>
      <c r="D14" s="39">
        <f>Расчет!G17</f>
        <v>408.85250000000002</v>
      </c>
      <c r="E14" s="39">
        <f>Расчет!G18</f>
        <v>19.354999999999997</v>
      </c>
      <c r="F14" s="39">
        <f>Расчет!G19</f>
        <v>25.662000000000003</v>
      </c>
      <c r="G14" s="39">
        <f>Расчет!G20</f>
        <v>166.803</v>
      </c>
      <c r="H14" s="39">
        <f>Расчет!G9</f>
        <v>16.037000000000003</v>
      </c>
      <c r="I14" s="39">
        <f>Расчет!G10+Расчет!G11</f>
        <v>315.57749999999999</v>
      </c>
      <c r="J14" s="55">
        <f t="shared" si="1"/>
        <v>952.28700000000003</v>
      </c>
      <c r="K14" s="19"/>
      <c r="L14" s="19">
        <f t="shared" si="0"/>
        <v>0</v>
      </c>
    </row>
    <row r="15" spans="1:12" ht="30" x14ac:dyDescent="0.25">
      <c r="A15" s="63">
        <v>6</v>
      </c>
      <c r="B15" s="3" t="s">
        <v>59</v>
      </c>
      <c r="C15" s="19" t="s">
        <v>44</v>
      </c>
      <c r="D15" s="39">
        <f>Расчет!K17</f>
        <v>0</v>
      </c>
      <c r="E15" s="39">
        <f>Расчет!K18</f>
        <v>416.59333333333342</v>
      </c>
      <c r="F15" s="39">
        <f>Расчет!K19</f>
        <v>772.49199999999996</v>
      </c>
      <c r="G15" s="39">
        <f>Расчет!K20</f>
        <v>4961.32</v>
      </c>
      <c r="H15" s="39">
        <f>Расчет!K21</f>
        <v>180.64666666666668</v>
      </c>
      <c r="I15" s="39">
        <f>Расчет!K22</f>
        <v>0</v>
      </c>
      <c r="J15" s="55">
        <f t="shared" si="1"/>
        <v>6331.0519999999997</v>
      </c>
      <c r="K15" s="19"/>
      <c r="L15" s="19">
        <f t="shared" si="0"/>
        <v>0</v>
      </c>
    </row>
    <row r="16" spans="1:12" ht="30" x14ac:dyDescent="0.25">
      <c r="A16" s="63">
        <v>7</v>
      </c>
      <c r="B16" s="3" t="s">
        <v>58</v>
      </c>
      <c r="C16" s="19" t="s">
        <v>45</v>
      </c>
      <c r="D16" s="39">
        <f>Расчет!P17</f>
        <v>32.631789473684208</v>
      </c>
      <c r="E16" s="39">
        <f>Расчет!P18</f>
        <v>61.470315789473688</v>
      </c>
      <c r="F16" s="39">
        <f>Расчет!P19</f>
        <v>115.6971789473684</v>
      </c>
      <c r="G16" s="39">
        <f>Расчет!P20</f>
        <v>753.65242105263167</v>
      </c>
      <c r="H16" s="39">
        <f>Расчет!P21</f>
        <v>76.209221052631577</v>
      </c>
      <c r="I16" s="39">
        <f>Расчет!P22</f>
        <v>0</v>
      </c>
      <c r="J16" s="55">
        <f t="shared" si="1"/>
        <v>1039.6609263157895</v>
      </c>
      <c r="K16" s="19"/>
      <c r="L16" s="19">
        <f t="shared" si="0"/>
        <v>0</v>
      </c>
    </row>
    <row r="17" spans="1:12" ht="30" x14ac:dyDescent="0.25">
      <c r="A17" s="63">
        <v>8</v>
      </c>
      <c r="B17" s="3" t="s">
        <v>43</v>
      </c>
      <c r="C17" s="19" t="s">
        <v>45</v>
      </c>
      <c r="D17" s="39">
        <v>0</v>
      </c>
      <c r="E17" s="39">
        <f>Расчет!AG18</f>
        <v>3.5350559999999995</v>
      </c>
      <c r="F17" s="39">
        <f>Расчет!AG19</f>
        <v>30.585887999999997</v>
      </c>
      <c r="G17" s="39">
        <f>Расчет!AG20</f>
        <v>226.12433999999999</v>
      </c>
      <c r="H17" s="39">
        <f>Расчет!AG21</f>
        <v>19.403239999999997</v>
      </c>
      <c r="I17" s="39">
        <f>Расчет!AG22</f>
        <v>7.2668999999999997</v>
      </c>
      <c r="J17" s="55">
        <f t="shared" si="1"/>
        <v>286.91542399999997</v>
      </c>
      <c r="K17" s="19"/>
      <c r="L17" s="19">
        <f t="shared" si="0"/>
        <v>0</v>
      </c>
    </row>
    <row r="18" spans="1:12" x14ac:dyDescent="0.25">
      <c r="A18" s="63">
        <v>9</v>
      </c>
      <c r="B18" s="3" t="s">
        <v>75</v>
      </c>
      <c r="C18" s="19" t="s">
        <v>76</v>
      </c>
      <c r="D18" s="39">
        <v>3.23</v>
      </c>
      <c r="E18" s="39">
        <f>3.34*2</f>
        <v>6.68</v>
      </c>
      <c r="F18" s="39">
        <f>6*2</f>
        <v>12</v>
      </c>
      <c r="G18" s="39">
        <f>39*2</f>
        <v>78</v>
      </c>
      <c r="H18" s="39">
        <f>3.34*2</f>
        <v>6.68</v>
      </c>
      <c r="I18" s="39">
        <v>0</v>
      </c>
      <c r="J18" s="55">
        <f t="shared" si="1"/>
        <v>106.59</v>
      </c>
      <c r="K18" s="19"/>
      <c r="L18" s="19">
        <f t="shared" si="0"/>
        <v>0</v>
      </c>
    </row>
    <row r="19" spans="1:12" x14ac:dyDescent="0.25">
      <c r="A19" s="63">
        <v>10</v>
      </c>
      <c r="B19" s="3" t="s">
        <v>77</v>
      </c>
      <c r="C19" s="19" t="s">
        <v>76</v>
      </c>
      <c r="D19" s="39">
        <v>0</v>
      </c>
      <c r="E19" s="39">
        <v>128</v>
      </c>
      <c r="F19" s="39">
        <f>119*2</f>
        <v>238</v>
      </c>
      <c r="G19" s="39">
        <f>13*119</f>
        <v>1547</v>
      </c>
      <c r="H19" s="39">
        <v>119</v>
      </c>
      <c r="I19" s="39">
        <v>0</v>
      </c>
      <c r="J19" s="55">
        <f t="shared" si="1"/>
        <v>2032</v>
      </c>
      <c r="K19" s="19"/>
      <c r="L19" s="19">
        <f t="shared" si="0"/>
        <v>0</v>
      </c>
    </row>
    <row r="20" spans="1:12" x14ac:dyDescent="0.25">
      <c r="A20" s="19"/>
      <c r="B20" s="98" t="s">
        <v>64</v>
      </c>
      <c r="C20" s="98"/>
      <c r="D20" s="98"/>
      <c r="E20" s="98"/>
      <c r="F20" s="98"/>
      <c r="G20" s="98"/>
      <c r="H20" s="98"/>
      <c r="I20" s="98"/>
      <c r="J20" s="98"/>
      <c r="K20" s="98"/>
      <c r="L20" s="1">
        <f>SUM(L5:L7,L11:L19)</f>
        <v>0</v>
      </c>
    </row>
  </sheetData>
  <mergeCells count="18">
    <mergeCell ref="L8:L9"/>
    <mergeCell ref="E4:F4"/>
    <mergeCell ref="E5:F5"/>
    <mergeCell ref="E6:F6"/>
    <mergeCell ref="E7:F7"/>
    <mergeCell ref="B20:K20"/>
    <mergeCell ref="A8:A9"/>
    <mergeCell ref="B8:B9"/>
    <mergeCell ref="C8:C9"/>
    <mergeCell ref="D8:J8"/>
    <mergeCell ref="K8:K9"/>
    <mergeCell ref="A1:L1"/>
    <mergeCell ref="A3:A4"/>
    <mergeCell ref="B3:B4"/>
    <mergeCell ref="C3:C4"/>
    <mergeCell ref="D3:J3"/>
    <mergeCell ref="K3:K4"/>
    <mergeCell ref="L3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A6FA2-3A1C-4491-A304-CFD579A15625}">
  <dimension ref="A1:M19"/>
  <sheetViews>
    <sheetView tabSelected="1" workbookViewId="0">
      <pane ySplit="4" topLeftCell="A5" activePane="bottomLeft" state="frozen"/>
      <selection pane="bottomLeft" activeCell="I18" sqref="I18"/>
    </sheetView>
  </sheetViews>
  <sheetFormatPr defaultRowHeight="15" x14ac:dyDescent="0.25"/>
  <cols>
    <col min="2" max="2" width="123.28515625" customWidth="1"/>
    <col min="8" max="8" width="11.140625" customWidth="1"/>
    <col min="10" max="10" width="7.5703125" bestFit="1" customWidth="1"/>
    <col min="11" max="11" width="14" customWidth="1"/>
    <col min="12" max="12" width="15.140625" customWidth="1"/>
  </cols>
  <sheetData>
    <row r="1" spans="1:13" ht="45" customHeight="1" thickBot="1" x14ac:dyDescent="0.4">
      <c r="A1" s="75" t="s">
        <v>73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3" ht="15.75" thickBot="1" x14ac:dyDescent="0.3">
      <c r="A2" s="17">
        <v>1</v>
      </c>
      <c r="B2" s="18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9</v>
      </c>
      <c r="I2" s="18">
        <v>10</v>
      </c>
      <c r="J2" s="18">
        <v>11</v>
      </c>
      <c r="K2" s="18">
        <v>12</v>
      </c>
      <c r="L2" s="18">
        <v>13</v>
      </c>
    </row>
    <row r="3" spans="1:13" ht="15.75" thickBot="1" x14ac:dyDescent="0.3">
      <c r="A3" s="80" t="s">
        <v>25</v>
      </c>
      <c r="B3" s="80" t="s">
        <v>26</v>
      </c>
      <c r="C3" s="80" t="s">
        <v>27</v>
      </c>
      <c r="D3" s="82" t="s">
        <v>28</v>
      </c>
      <c r="E3" s="83"/>
      <c r="F3" s="83"/>
      <c r="G3" s="83"/>
      <c r="H3" s="83"/>
      <c r="I3" s="83"/>
      <c r="J3" s="84"/>
      <c r="K3" s="78" t="s">
        <v>37</v>
      </c>
      <c r="L3" s="80" t="s">
        <v>36</v>
      </c>
    </row>
    <row r="4" spans="1:13" ht="15.75" thickBot="1" x14ac:dyDescent="0.3">
      <c r="A4" s="81"/>
      <c r="B4" s="81"/>
      <c r="C4" s="81"/>
      <c r="D4" s="36" t="s">
        <v>30</v>
      </c>
      <c r="E4" s="86" t="s">
        <v>72</v>
      </c>
      <c r="F4" s="87"/>
      <c r="G4" s="37" t="s">
        <v>32</v>
      </c>
      <c r="H4" s="37" t="s">
        <v>71</v>
      </c>
      <c r="I4" s="37" t="s">
        <v>46</v>
      </c>
      <c r="J4" s="38" t="s">
        <v>36</v>
      </c>
      <c r="K4" s="79"/>
      <c r="L4" s="81"/>
    </row>
    <row r="5" spans="1:13" ht="45" customHeight="1" x14ac:dyDescent="0.25">
      <c r="A5" s="53">
        <v>1</v>
      </c>
      <c r="B5" s="12" t="s">
        <v>61</v>
      </c>
      <c r="C5" s="53" t="s">
        <v>44</v>
      </c>
      <c r="D5" s="53">
        <v>7.5</v>
      </c>
      <c r="E5" s="88">
        <v>249</v>
      </c>
      <c r="F5" s="89"/>
      <c r="G5" s="53">
        <v>1086</v>
      </c>
      <c r="H5" s="53">
        <v>713</v>
      </c>
      <c r="I5" s="53">
        <v>90</v>
      </c>
      <c r="J5" s="56">
        <f>SUM(D5:I5)</f>
        <v>2145.5</v>
      </c>
      <c r="K5" s="53"/>
      <c r="L5" s="53">
        <f>J5*K5</f>
        <v>0</v>
      </c>
    </row>
    <row r="6" spans="1:13" ht="43.5" customHeight="1" x14ac:dyDescent="0.25">
      <c r="A6" s="19">
        <v>2</v>
      </c>
      <c r="B6" s="54" t="s">
        <v>68</v>
      </c>
      <c r="C6" s="19" t="s">
        <v>44</v>
      </c>
      <c r="D6" s="19">
        <v>27.1</v>
      </c>
      <c r="E6" s="90">
        <v>317</v>
      </c>
      <c r="F6" s="91"/>
      <c r="G6" s="19">
        <v>500</v>
      </c>
      <c r="H6" s="19">
        <v>515</v>
      </c>
      <c r="I6" s="19">
        <v>192</v>
      </c>
      <c r="J6" s="56">
        <f>SUM(D6:I6)</f>
        <v>1551.1</v>
      </c>
      <c r="K6" s="19"/>
      <c r="L6" s="19">
        <f t="shared" ref="L6:L18" si="0">J6*K6</f>
        <v>0</v>
      </c>
    </row>
    <row r="7" spans="1:13" ht="45.75" thickBot="1" x14ac:dyDescent="0.3">
      <c r="A7" s="19">
        <v>3</v>
      </c>
      <c r="B7" s="54" t="s">
        <v>63</v>
      </c>
      <c r="C7" s="19" t="s">
        <v>44</v>
      </c>
      <c r="D7" s="19">
        <v>10.5</v>
      </c>
      <c r="E7" s="92">
        <v>156</v>
      </c>
      <c r="F7" s="93"/>
      <c r="G7" s="19">
        <v>240</v>
      </c>
      <c r="H7" s="19">
        <v>268</v>
      </c>
      <c r="I7" s="19">
        <v>0</v>
      </c>
      <c r="J7" s="56">
        <f>SUM(D7:I7)</f>
        <v>674.5</v>
      </c>
      <c r="K7" s="68"/>
      <c r="L7" s="68">
        <f t="shared" si="0"/>
        <v>0</v>
      </c>
    </row>
    <row r="8" spans="1:13" ht="15.75" thickBot="1" x14ac:dyDescent="0.3">
      <c r="A8" s="80"/>
      <c r="B8" s="80" t="s">
        <v>26</v>
      </c>
      <c r="C8" s="80" t="s">
        <v>27</v>
      </c>
      <c r="D8" s="82" t="s">
        <v>28</v>
      </c>
      <c r="E8" s="83"/>
      <c r="F8" s="83"/>
      <c r="G8" s="83"/>
      <c r="H8" s="83"/>
      <c r="I8" s="83"/>
      <c r="J8" s="86"/>
      <c r="K8" s="100"/>
      <c r="L8" s="100"/>
    </row>
    <row r="9" spans="1:13" x14ac:dyDescent="0.25">
      <c r="A9" s="85"/>
      <c r="B9" s="85"/>
      <c r="C9" s="85"/>
      <c r="D9" s="59" t="s">
        <v>30</v>
      </c>
      <c r="E9" s="57" t="s">
        <v>29</v>
      </c>
      <c r="F9" s="57" t="s">
        <v>31</v>
      </c>
      <c r="G9" s="57" t="s">
        <v>69</v>
      </c>
      <c r="H9" s="57" t="s">
        <v>34</v>
      </c>
      <c r="I9" s="57" t="s">
        <v>46</v>
      </c>
      <c r="J9" s="58" t="s">
        <v>36</v>
      </c>
      <c r="K9" s="100"/>
      <c r="L9" s="100"/>
    </row>
    <row r="10" spans="1:13" x14ac:dyDescent="0.25">
      <c r="A10" s="63">
        <v>1</v>
      </c>
      <c r="B10" s="3" t="s">
        <v>38</v>
      </c>
      <c r="C10" s="63" t="s">
        <v>44</v>
      </c>
      <c r="D10" s="66">
        <f>Расчет!V29</f>
        <v>43.23</v>
      </c>
      <c r="E10" s="66">
        <f>Расчет!V30</f>
        <v>16.59</v>
      </c>
      <c r="F10" s="66">
        <f>Расчет!V31</f>
        <v>29.609999999999996</v>
      </c>
      <c r="G10" s="66">
        <f>Расчет!V32</f>
        <v>269.45099999999996</v>
      </c>
      <c r="H10" s="66">
        <f>Расчет!V33</f>
        <v>23.225999999999999</v>
      </c>
      <c r="I10" s="66">
        <f>Расчет!V34</f>
        <v>90.72</v>
      </c>
      <c r="J10" s="67">
        <f>SUM(D10:I10)</f>
        <v>472.827</v>
      </c>
      <c r="K10" s="100"/>
      <c r="L10" s="100"/>
    </row>
    <row r="11" spans="1:13" x14ac:dyDescent="0.25">
      <c r="A11" s="63">
        <v>2</v>
      </c>
      <c r="B11" s="3" t="s">
        <v>39</v>
      </c>
      <c r="C11" s="19" t="s">
        <v>44</v>
      </c>
      <c r="D11" s="39">
        <f>Расчет!X4</f>
        <v>164.39500000000001</v>
      </c>
      <c r="E11" s="39">
        <f>Расчет!X5</f>
        <v>68.572000000000017</v>
      </c>
      <c r="F11" s="39">
        <f>Расчет!X6</f>
        <v>122.38800000000001</v>
      </c>
      <c r="G11" s="39">
        <f>Расчет!X7</f>
        <v>550.74600000000009</v>
      </c>
      <c r="H11" s="39">
        <f>Расчет!X9</f>
        <v>68.572000000000017</v>
      </c>
      <c r="I11" s="39">
        <f>Расчет!X10</f>
        <v>23.94</v>
      </c>
      <c r="J11" s="55">
        <f>Расчет!X12</f>
        <v>1251.2850000000003</v>
      </c>
      <c r="K11" s="19"/>
      <c r="L11" s="19">
        <f t="shared" si="0"/>
        <v>0</v>
      </c>
    </row>
    <row r="12" spans="1:13" ht="30" x14ac:dyDescent="0.25">
      <c r="A12" s="64">
        <v>3</v>
      </c>
      <c r="B12" s="3" t="s">
        <v>40</v>
      </c>
      <c r="C12" s="19" t="s">
        <v>45</v>
      </c>
      <c r="D12" s="39">
        <f>Расчет!R4</f>
        <v>0</v>
      </c>
      <c r="E12" s="39">
        <f>Расчет!R5</f>
        <v>65.36460000000001</v>
      </c>
      <c r="F12" s="39">
        <f>Расчет!R6</f>
        <v>106.596</v>
      </c>
      <c r="G12" s="39">
        <f>Расчет!R7</f>
        <v>485.01179999999994</v>
      </c>
      <c r="H12" s="39">
        <f>Расчет!R9</f>
        <v>59.724000000000004</v>
      </c>
      <c r="I12" s="39">
        <f>Расчет!R10</f>
        <v>0</v>
      </c>
      <c r="J12" s="55">
        <f>Расчет!R12</f>
        <v>932.2571999999999</v>
      </c>
      <c r="K12" s="19"/>
      <c r="L12" s="19">
        <f t="shared" si="0"/>
        <v>0</v>
      </c>
    </row>
    <row r="13" spans="1:13" ht="30" x14ac:dyDescent="0.25">
      <c r="A13" s="63">
        <v>4</v>
      </c>
      <c r="B13" s="3" t="s">
        <v>41</v>
      </c>
      <c r="C13" s="19" t="s">
        <v>45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f>Расчет!H34</f>
        <v>5.9840000000000009</v>
      </c>
      <c r="J13" s="55">
        <f>SUM(D13:I13)</f>
        <v>5.9840000000000009</v>
      </c>
      <c r="K13" s="19"/>
      <c r="L13" s="19">
        <f t="shared" si="0"/>
        <v>0</v>
      </c>
    </row>
    <row r="14" spans="1:13" ht="30" x14ac:dyDescent="0.25">
      <c r="A14" s="64">
        <v>5</v>
      </c>
      <c r="B14" s="3" t="s">
        <v>42</v>
      </c>
      <c r="C14" s="19" t="s">
        <v>44</v>
      </c>
      <c r="D14" s="39">
        <f>Расчет!G4</f>
        <v>487.046875</v>
      </c>
      <c r="E14" s="39">
        <f>Расчет!G5</f>
        <v>21.014000000000003</v>
      </c>
      <c r="F14" s="39">
        <f>Расчет!G6</f>
        <v>28.622999999999998</v>
      </c>
      <c r="G14" s="39">
        <f>Расчет!G7</f>
        <v>128.80349999999999</v>
      </c>
      <c r="H14" s="39">
        <f>Расчет!G9</f>
        <v>16.037000000000003</v>
      </c>
      <c r="I14" s="39">
        <f>Расчет!G10+Расчет!G11</f>
        <v>315.57749999999999</v>
      </c>
      <c r="J14" s="55">
        <f>SUM(D14:I14)</f>
        <v>997.10187500000006</v>
      </c>
      <c r="K14" s="19"/>
      <c r="L14" s="19">
        <f t="shared" si="0"/>
        <v>0</v>
      </c>
      <c r="M14" s="41"/>
    </row>
    <row r="15" spans="1:13" ht="30" x14ac:dyDescent="0.25">
      <c r="A15" s="63">
        <v>6</v>
      </c>
      <c r="B15" s="3" t="s">
        <v>59</v>
      </c>
      <c r="C15" s="19" t="s">
        <v>44</v>
      </c>
      <c r="D15" s="39">
        <f>Расчет!K4</f>
        <v>0</v>
      </c>
      <c r="E15" s="39">
        <f>Расчет!K5</f>
        <v>419.17400000000004</v>
      </c>
      <c r="F15" s="39">
        <f>Расчет!K6</f>
        <v>754.72600000000011</v>
      </c>
      <c r="G15" s="39">
        <f>Расчет!K7</f>
        <v>3322.2420000000006</v>
      </c>
      <c r="H15" s="39">
        <f>Расчет!K9</f>
        <v>240.73933333333335</v>
      </c>
      <c r="I15" s="39">
        <f>Расчет!K10</f>
        <v>0</v>
      </c>
      <c r="J15" s="55">
        <f>SUM(D15:I15)</f>
        <v>4736.8813333333337</v>
      </c>
      <c r="K15" s="19"/>
      <c r="L15" s="19">
        <f t="shared" si="0"/>
        <v>0</v>
      </c>
      <c r="M15" s="41"/>
    </row>
    <row r="16" spans="1:13" ht="30" x14ac:dyDescent="0.25">
      <c r="A16" s="64">
        <v>7</v>
      </c>
      <c r="B16" s="3" t="s">
        <v>58</v>
      </c>
      <c r="C16" s="19" t="s">
        <v>45</v>
      </c>
      <c r="D16" s="39">
        <f>Расчет!P4</f>
        <v>22.720894736842101</v>
      </c>
      <c r="E16" s="39">
        <f>Расчет!P5</f>
        <v>53.611894736842096</v>
      </c>
      <c r="F16" s="39">
        <f>Расчет!P6</f>
        <v>104.28953684210525</v>
      </c>
      <c r="G16" s="39">
        <f>Расчет!P7</f>
        <v>470.70549473684207</v>
      </c>
      <c r="H16" s="39">
        <f>Расчет!P9</f>
        <v>65.836105263157904</v>
      </c>
      <c r="I16" s="39">
        <f>Расчет!P10</f>
        <v>0</v>
      </c>
      <c r="J16" s="55">
        <f>SUM(D16:I16)</f>
        <v>717.16392631578947</v>
      </c>
      <c r="K16" s="19"/>
      <c r="L16" s="19">
        <f t="shared" si="0"/>
        <v>0</v>
      </c>
      <c r="M16" s="41"/>
    </row>
    <row r="17" spans="1:13" ht="30" x14ac:dyDescent="0.25">
      <c r="A17" s="63">
        <v>8</v>
      </c>
      <c r="B17" s="3" t="s">
        <v>43</v>
      </c>
      <c r="C17" s="19" t="s">
        <v>45</v>
      </c>
      <c r="D17" s="39">
        <v>0</v>
      </c>
      <c r="E17" s="39">
        <f>Расчет!AG30</f>
        <v>3.8717279999999996</v>
      </c>
      <c r="F17" s="39">
        <f>Расчет!AG31</f>
        <v>31.996541999999998</v>
      </c>
      <c r="G17" s="39">
        <f>Расчет!AG32</f>
        <v>232.90277399999999</v>
      </c>
      <c r="H17" s="39">
        <f>Расчет!AG33</f>
        <v>19.987524000000001</v>
      </c>
      <c r="I17" s="39">
        <f>Расчет!AG34</f>
        <v>7.4333099999999988</v>
      </c>
      <c r="J17" s="55">
        <f>SUM(D17:I17)</f>
        <v>296.19187799999997</v>
      </c>
      <c r="K17" s="19"/>
      <c r="L17" s="19">
        <f t="shared" si="0"/>
        <v>0</v>
      </c>
      <c r="M17" s="41"/>
    </row>
    <row r="18" spans="1:13" x14ac:dyDescent="0.25">
      <c r="A18" s="63">
        <v>9</v>
      </c>
      <c r="B18" s="3" t="s">
        <v>77</v>
      </c>
      <c r="C18" s="19" t="s">
        <v>76</v>
      </c>
      <c r="D18" s="39">
        <v>0</v>
      </c>
      <c r="E18" s="39">
        <v>122</v>
      </c>
      <c r="F18" s="39">
        <f>122*2</f>
        <v>244</v>
      </c>
      <c r="G18" s="39">
        <f>13*122</f>
        <v>1586</v>
      </c>
      <c r="H18" s="39">
        <v>122</v>
      </c>
      <c r="I18" s="39">
        <v>0</v>
      </c>
      <c r="J18" s="55">
        <f>SUM(D18:I18)</f>
        <v>2074</v>
      </c>
      <c r="K18" s="19"/>
      <c r="L18" s="19">
        <f t="shared" si="0"/>
        <v>0</v>
      </c>
      <c r="M18" s="41"/>
    </row>
    <row r="19" spans="1:13" x14ac:dyDescent="0.25">
      <c r="A19" s="19"/>
      <c r="B19" s="98" t="s">
        <v>64</v>
      </c>
      <c r="C19" s="98"/>
      <c r="D19" s="98"/>
      <c r="E19" s="98"/>
      <c r="F19" s="98"/>
      <c r="G19" s="98"/>
      <c r="H19" s="98"/>
      <c r="I19" s="98"/>
      <c r="J19" s="98"/>
      <c r="K19" s="98"/>
      <c r="L19" s="1">
        <f>SUM(L5:L7,L11:L18)</f>
        <v>0</v>
      </c>
      <c r="M19" s="41"/>
    </row>
  </sheetData>
  <mergeCells count="17">
    <mergeCell ref="B19:K19"/>
    <mergeCell ref="K8:L10"/>
    <mergeCell ref="E5:F5"/>
    <mergeCell ref="E6:F6"/>
    <mergeCell ref="E7:F7"/>
    <mergeCell ref="A8:A9"/>
    <mergeCell ref="B8:B9"/>
    <mergeCell ref="C8:C9"/>
    <mergeCell ref="D8:J8"/>
    <mergeCell ref="A1:L1"/>
    <mergeCell ref="A3:A4"/>
    <mergeCell ref="B3:B4"/>
    <mergeCell ref="C3:C4"/>
    <mergeCell ref="D3:J3"/>
    <mergeCell ref="K3:K4"/>
    <mergeCell ref="L3:L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</vt:lpstr>
      <vt:lpstr>Калькуляция 1 сек</vt:lpstr>
      <vt:lpstr>Калькуляция 2 сек</vt:lpstr>
      <vt:lpstr>Калькуляция 3 сек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волков михаил</cp:lastModifiedBy>
  <dcterms:created xsi:type="dcterms:W3CDTF">2015-06-05T18:19:34Z</dcterms:created>
  <dcterms:modified xsi:type="dcterms:W3CDTF">2024-04-18T06:14:42Z</dcterms:modified>
</cp:coreProperties>
</file>